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nkfs01.samdrift.dk\nkuserhome02$\jxq6x5\Desktop\"/>
    </mc:Choice>
  </mc:AlternateContent>
  <xr:revisionPtr revIDLastSave="0" documentId="8_{6FF903AF-8327-4ACD-ADC5-D99F25D6BBD0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RI - data" sheetId="1" r:id="rId1"/>
    <sheet name="Total hjælpeark" sheetId="2" r:id="rId2"/>
    <sheet name="Total til SB" sheetId="6" r:id="rId3"/>
    <sheet name="Slutresultat 31-7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8" i="6" l="1"/>
  <c r="D34" i="2" l="1"/>
  <c r="D86" i="6"/>
  <c r="D61" i="6"/>
  <c r="D58" i="6"/>
  <c r="C21" i="2" l="1"/>
  <c r="C22" i="2"/>
  <c r="C112" i="2"/>
  <c r="C111" i="2"/>
  <c r="C110" i="2"/>
  <c r="D81" i="6"/>
  <c r="H73" i="6" l="1"/>
  <c r="H71" i="6"/>
  <c r="E33" i="6" l="1"/>
  <c r="I79" i="6" l="1"/>
  <c r="I78" i="6"/>
  <c r="I73" i="6"/>
  <c r="I71" i="6"/>
  <c r="I69" i="6"/>
  <c r="I68" i="6"/>
  <c r="I67" i="6"/>
  <c r="I56" i="6"/>
  <c r="I54" i="6"/>
  <c r="I50" i="6"/>
  <c r="I48" i="6"/>
  <c r="I44" i="6"/>
  <c r="I43" i="6"/>
  <c r="I42" i="6"/>
  <c r="I30" i="6"/>
  <c r="I28" i="6"/>
  <c r="I24" i="6"/>
  <c r="I20" i="6"/>
  <c r="F29" i="6"/>
  <c r="G27" i="6"/>
  <c r="F27" i="6"/>
  <c r="G26" i="6"/>
  <c r="F26" i="6"/>
  <c r="F25" i="6"/>
  <c r="G23" i="6"/>
  <c r="F23" i="6"/>
  <c r="G22" i="6"/>
  <c r="F22" i="6"/>
  <c r="F21" i="6"/>
  <c r="D120" i="2"/>
  <c r="D124" i="2"/>
  <c r="D74" i="2"/>
  <c r="D10" i="2"/>
  <c r="E82" i="2" l="1"/>
  <c r="D82" i="2" s="1"/>
  <c r="D13" i="2"/>
  <c r="H60" i="6" l="1"/>
  <c r="H35" i="6"/>
  <c r="D94" i="6"/>
  <c r="D36" i="6" s="1"/>
  <c r="I83" i="6"/>
  <c r="I81" i="6"/>
  <c r="I58" i="6"/>
  <c r="I32" i="6"/>
  <c r="I18" i="6"/>
  <c r="I10" i="6"/>
  <c r="I8" i="6"/>
  <c r="I7" i="6"/>
  <c r="I6" i="6"/>
  <c r="F7" i="6" l="1"/>
  <c r="I33" i="6"/>
  <c r="E85" i="6" l="1"/>
  <c r="E60" i="6" l="1"/>
  <c r="E35" i="6"/>
  <c r="E89" i="6" l="1"/>
  <c r="E91" i="6" l="1"/>
  <c r="E96" i="6" s="1"/>
  <c r="C63" i="2"/>
  <c r="D79" i="6"/>
  <c r="H85" i="6"/>
  <c r="I85" i="6" s="1"/>
  <c r="I60" i="6"/>
  <c r="G79" i="6" l="1"/>
  <c r="F79" i="6"/>
  <c r="I35" i="6"/>
  <c r="F94" i="6"/>
  <c r="G81" i="6"/>
  <c r="F81" i="6"/>
  <c r="F58" i="6"/>
  <c r="G58" i="6"/>
  <c r="H89" i="6"/>
  <c r="H91" i="6" s="1"/>
  <c r="H96" i="6" s="1"/>
  <c r="H98" i="6" s="1"/>
  <c r="C62" i="5"/>
  <c r="C63" i="5"/>
  <c r="C64" i="5"/>
  <c r="C65" i="5"/>
  <c r="B62" i="5"/>
  <c r="B63" i="5"/>
  <c r="B64" i="5"/>
  <c r="C53" i="5"/>
  <c r="C54" i="5"/>
  <c r="C55" i="5"/>
  <c r="C56" i="5"/>
  <c r="C58" i="5"/>
  <c r="C60" i="5"/>
  <c r="B56" i="5"/>
  <c r="B58" i="5"/>
  <c r="B60" i="5"/>
  <c r="C42" i="5"/>
  <c r="C17" i="5"/>
  <c r="C36" i="5"/>
  <c r="C38" i="5"/>
  <c r="C40" i="5"/>
  <c r="C44" i="5"/>
  <c r="C46" i="5"/>
  <c r="C35" i="5"/>
  <c r="D11" i="5"/>
  <c r="C8" i="5"/>
  <c r="C9" i="5"/>
  <c r="C10" i="5"/>
  <c r="C12" i="5"/>
  <c r="C13" i="5"/>
  <c r="C15" i="5"/>
  <c r="C19" i="5"/>
  <c r="C23" i="5"/>
  <c r="C25" i="5"/>
  <c r="C27" i="5"/>
  <c r="B46" i="5"/>
  <c r="I91" i="6" l="1"/>
  <c r="H92" i="6"/>
  <c r="E63" i="5"/>
  <c r="D63" i="5"/>
  <c r="E46" i="5"/>
  <c r="D46" i="5"/>
  <c r="D83" i="2" l="1"/>
  <c r="D85" i="2" s="1"/>
  <c r="B8" i="5" l="1"/>
  <c r="B72" i="5" s="1"/>
  <c r="K69" i="6" l="1"/>
  <c r="D53" i="2"/>
  <c r="K43" i="6" s="1"/>
  <c r="D7" i="2"/>
  <c r="K8" i="6" l="1"/>
  <c r="D89" i="2"/>
  <c r="D56" i="2"/>
  <c r="D14" i="2" l="1"/>
  <c r="D44" i="6" l="1"/>
  <c r="F44" i="6" l="1"/>
  <c r="G44" i="6"/>
  <c r="B36" i="5"/>
  <c r="C7" i="5"/>
  <c r="C29" i="5" s="1"/>
  <c r="C61" i="5"/>
  <c r="C39" i="2"/>
  <c r="C38" i="2"/>
  <c r="C25" i="2"/>
  <c r="D88" i="2"/>
  <c r="D90" i="2" s="1"/>
  <c r="D86" i="2"/>
  <c r="D58" i="2"/>
  <c r="D55" i="2"/>
  <c r="D57" i="2" s="1"/>
  <c r="D43" i="6" s="1"/>
  <c r="D52" i="2"/>
  <c r="D19" i="2"/>
  <c r="D18" i="2"/>
  <c r="D9" i="2"/>
  <c r="D16" i="2"/>
  <c r="D6" i="2"/>
  <c r="D11" i="2" s="1"/>
  <c r="D6" i="6" l="1"/>
  <c r="G6" i="6" s="1"/>
  <c r="D69" i="6"/>
  <c r="B55" i="5" s="1"/>
  <c r="G43" i="6"/>
  <c r="F43" i="6"/>
  <c r="D15" i="2"/>
  <c r="D8" i="6" s="1"/>
  <c r="B10" i="5" s="1"/>
  <c r="D10" i="5" s="1"/>
  <c r="D67" i="6"/>
  <c r="D54" i="2"/>
  <c r="D42" i="6" s="1"/>
  <c r="C67" i="5"/>
  <c r="C34" i="5"/>
  <c r="E36" i="5"/>
  <c r="D36" i="5"/>
  <c r="B35" i="5"/>
  <c r="B21" i="5"/>
  <c r="G69" i="6" l="1"/>
  <c r="D55" i="5"/>
  <c r="E55" i="5"/>
  <c r="F69" i="6"/>
  <c r="B34" i="5"/>
  <c r="F42" i="6"/>
  <c r="G42" i="6"/>
  <c r="B53" i="5"/>
  <c r="D53" i="5" s="1"/>
  <c r="G67" i="6"/>
  <c r="F67" i="6"/>
  <c r="G8" i="6"/>
  <c r="F8" i="6"/>
  <c r="F6" i="6"/>
  <c r="B7" i="5"/>
  <c r="D7" i="5" s="1"/>
  <c r="D34" i="5"/>
  <c r="C48" i="5"/>
  <c r="C70" i="5" s="1"/>
  <c r="E35" i="5"/>
  <c r="D35" i="5"/>
  <c r="E34" i="5"/>
  <c r="G14" i="6"/>
  <c r="G13" i="6"/>
  <c r="G12" i="6"/>
  <c r="G11" i="6"/>
  <c r="D66" i="2" l="1"/>
  <c r="C62" i="2"/>
  <c r="C61" i="2"/>
  <c r="C20" i="2"/>
  <c r="C19" i="2"/>
  <c r="D64" i="2" l="1"/>
  <c r="D71" i="6"/>
  <c r="D73" i="6"/>
  <c r="D92" i="2"/>
  <c r="C101" i="2"/>
  <c r="B20" i="5"/>
  <c r="C26" i="2"/>
  <c r="G71" i="6" l="1"/>
  <c r="F71" i="6"/>
  <c r="B59" i="5"/>
  <c r="D59" i="5" s="1"/>
  <c r="G73" i="6"/>
  <c r="F73" i="6"/>
  <c r="D48" i="6"/>
  <c r="B57" i="5"/>
  <c r="D57" i="5" s="1"/>
  <c r="B9" i="5"/>
  <c r="D40" i="2"/>
  <c r="D28" i="6" s="1"/>
  <c r="G28" i="6" l="1"/>
  <c r="F28" i="6"/>
  <c r="G48" i="6"/>
  <c r="F48" i="6"/>
  <c r="C77" i="6"/>
  <c r="C76" i="6"/>
  <c r="C75" i="6"/>
  <c r="D68" i="6"/>
  <c r="D56" i="6"/>
  <c r="C53" i="6"/>
  <c r="C52" i="6"/>
  <c r="D50" i="6"/>
  <c r="C47" i="6"/>
  <c r="C46" i="6"/>
  <c r="D33" i="6"/>
  <c r="D30" i="6"/>
  <c r="C27" i="6"/>
  <c r="C26" i="6"/>
  <c r="C17" i="6"/>
  <c r="C16" i="6"/>
  <c r="C14" i="6"/>
  <c r="C13" i="6"/>
  <c r="C12" i="6"/>
  <c r="C11" i="6"/>
  <c r="D10" i="6"/>
  <c r="D31" i="2"/>
  <c r="B25" i="5" l="1"/>
  <c r="D25" i="5" s="1"/>
  <c r="F30" i="6"/>
  <c r="G30" i="6"/>
  <c r="F50" i="6"/>
  <c r="G50" i="6"/>
  <c r="G68" i="6"/>
  <c r="F68" i="6"/>
  <c r="F56" i="6"/>
  <c r="G56" i="6"/>
  <c r="F10" i="6"/>
  <c r="G10" i="6"/>
  <c r="B40" i="5"/>
  <c r="E40" i="5" s="1"/>
  <c r="B27" i="5"/>
  <c r="E27" i="5" s="1"/>
  <c r="F33" i="6"/>
  <c r="G33" i="6"/>
  <c r="B54" i="5"/>
  <c r="B44" i="5"/>
  <c r="B12" i="5"/>
  <c r="D12" i="5" s="1"/>
  <c r="D18" i="6"/>
  <c r="D54" i="6"/>
  <c r="B38" i="5"/>
  <c r="C69" i="2"/>
  <c r="D108" i="2"/>
  <c r="C102" i="2"/>
  <c r="C100" i="2"/>
  <c r="C96" i="2"/>
  <c r="C99" i="2" s="1"/>
  <c r="D94" i="2"/>
  <c r="D72" i="2"/>
  <c r="C68" i="2"/>
  <c r="D33" i="2"/>
  <c r="D35" i="2" s="1"/>
  <c r="D24" i="6" s="1"/>
  <c r="D37" i="2"/>
  <c r="D42" i="2"/>
  <c r="D44" i="2"/>
  <c r="B19" i="5" l="1"/>
  <c r="D19" i="5" s="1"/>
  <c r="F24" i="6"/>
  <c r="G24" i="6"/>
  <c r="B42" i="5"/>
  <c r="E42" i="5" s="1"/>
  <c r="G54" i="6"/>
  <c r="F54" i="6"/>
  <c r="D40" i="5"/>
  <c r="D27" i="5"/>
  <c r="B17" i="5"/>
  <c r="D17" i="5" s="1"/>
  <c r="F18" i="6"/>
  <c r="G18" i="6"/>
  <c r="D103" i="2"/>
  <c r="D78" i="6" s="1"/>
  <c r="D113" i="2"/>
  <c r="D54" i="5"/>
  <c r="E54" i="5"/>
  <c r="E38" i="5"/>
  <c r="D38" i="5"/>
  <c r="B48" i="5"/>
  <c r="E44" i="5"/>
  <c r="D44" i="5"/>
  <c r="D60" i="6"/>
  <c r="G60" i="6" s="1"/>
  <c r="D23" i="2"/>
  <c r="D70" i="2"/>
  <c r="D76" i="2" s="1"/>
  <c r="D27" i="2"/>
  <c r="D116" i="2" l="1"/>
  <c r="D42" i="5"/>
  <c r="B61" i="5"/>
  <c r="E61" i="5" s="1"/>
  <c r="G78" i="6"/>
  <c r="F78" i="6"/>
  <c r="D83" i="6"/>
  <c r="D46" i="2"/>
  <c r="D48" i="5"/>
  <c r="E48" i="5"/>
  <c r="F60" i="6"/>
  <c r="D20" i="6"/>
  <c r="B23" i="5"/>
  <c r="D32" i="6"/>
  <c r="D62" i="6"/>
  <c r="D61" i="5" l="1"/>
  <c r="G20" i="6"/>
  <c r="F20" i="6"/>
  <c r="F83" i="6"/>
  <c r="G83" i="6"/>
  <c r="D85" i="6"/>
  <c r="B65" i="5"/>
  <c r="G32" i="6"/>
  <c r="F32" i="6"/>
  <c r="D67" i="5"/>
  <c r="D35" i="6"/>
  <c r="D37" i="6" s="1"/>
  <c r="D23" i="5"/>
  <c r="B15" i="5"/>
  <c r="D15" i="5" s="1"/>
  <c r="B13" i="5"/>
  <c r="D13" i="5" s="1"/>
  <c r="E53" i="5"/>
  <c r="E17" i="5"/>
  <c r="E10" i="5"/>
  <c r="F85" i="6" l="1"/>
  <c r="D87" i="6"/>
  <c r="G85" i="6"/>
  <c r="D65" i="5"/>
  <c r="E65" i="5"/>
  <c r="B67" i="5"/>
  <c r="D89" i="6"/>
  <c r="D91" i="6" s="1"/>
  <c r="D96" i="6" s="1"/>
  <c r="G35" i="6"/>
  <c r="B29" i="5"/>
  <c r="F35" i="6"/>
  <c r="E19" i="5"/>
  <c r="E25" i="5"/>
  <c r="E13" i="5"/>
  <c r="E23" i="5"/>
  <c r="E7" i="5"/>
  <c r="E15" i="5"/>
  <c r="E12" i="5"/>
  <c r="F91" i="6" l="1"/>
  <c r="D29" i="5"/>
  <c r="F89" i="6"/>
  <c r="G91" i="6"/>
  <c r="E29" i="5"/>
  <c r="B70" i="5"/>
  <c r="E67" i="5"/>
  <c r="B74" i="5" l="1"/>
  <c r="D70" i="5"/>
  <c r="C74" i="5"/>
  <c r="E70" i="5"/>
  <c r="D74" i="5" l="1"/>
  <c r="E74" i="5"/>
  <c r="D123" i="2"/>
  <c r="D1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Lene Dyndgaard Hansen</author>
  </authors>
  <commentList>
    <comment ref="B38" authorId="0" shapeId="0" xr:uid="{FAF27C3F-298E-4E36-AEB1-9A9B2FF3C607}">
      <text>
        <r>
          <rPr>
            <b/>
            <sz val="9"/>
            <color indexed="81"/>
            <rFont val="Tahoma"/>
            <family val="2"/>
          </rPr>
          <t>Lene Dyndgaard Hansen:</t>
        </r>
        <r>
          <rPr>
            <sz val="9"/>
            <color indexed="81"/>
            <rFont val="Tahoma"/>
            <family val="2"/>
          </rPr>
          <t xml:space="preserve">
HUSK MATR MM SKAL BUDGETLÆGGES 
UV-MATR.</t>
        </r>
      </text>
    </comment>
    <comment ref="E82" authorId="0" shapeId="0" xr:uid="{7A5992EC-2F6F-4232-9652-D7A35B8C57A6}">
      <text>
        <r>
          <rPr>
            <b/>
            <sz val="9"/>
            <color indexed="81"/>
            <rFont val="Tahoma"/>
            <family val="2"/>
          </rPr>
          <t>Lene Dyndgaard Hansen:</t>
        </r>
        <r>
          <rPr>
            <sz val="9"/>
            <color indexed="81"/>
            <rFont val="Tahoma"/>
            <family val="2"/>
          </rPr>
          <t xml:space="preserve">
Vikaløn MG omposteret aug-sep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Lene Dyndgaard Hansen</author>
  </authors>
  <commentList>
    <comment ref="B26" authorId="0" shapeId="0" xr:uid="{E50F6695-51A0-483E-879B-1CE588579D2E}">
      <text>
        <r>
          <rPr>
            <b/>
            <sz val="9"/>
            <color indexed="81"/>
            <rFont val="Tahoma"/>
            <family val="2"/>
          </rPr>
          <t>Lene Dyndgaard Hansen:</t>
        </r>
        <r>
          <rPr>
            <sz val="9"/>
            <color indexed="81"/>
            <rFont val="Tahoma"/>
            <family val="2"/>
          </rPr>
          <t xml:space="preserve">
HUSK MATR MM SKAL BUDGETLÆGGES 
UV-MATR.</t>
        </r>
      </text>
    </comment>
  </commentList>
</comments>
</file>

<file path=xl/sharedStrings.xml><?xml version="1.0" encoding="utf-8"?>
<sst xmlns="http://schemas.openxmlformats.org/spreadsheetml/2006/main" count="672" uniqueCount="338">
  <si>
    <t>Skæringsdato</t>
  </si>
  <si>
    <t>Aktuel bruger</t>
  </si>
  <si>
    <t>Statiske filtre</t>
  </si>
  <si>
    <t>Profitcenter</t>
  </si>
  <si>
    <t>Holmegaardskolen</t>
  </si>
  <si>
    <t>CO-område</t>
  </si>
  <si>
    <t>370/0020 KMD OPUS Firmakode</t>
  </si>
  <si>
    <t>InfoProvider</t>
  </si>
  <si>
    <t>Kunde identifikation</t>
  </si>
  <si>
    <t>Næstved</t>
  </si>
  <si>
    <t xml:space="preserve"> </t>
  </si>
  <si>
    <t>Dynamiske filtre</t>
  </si>
  <si>
    <t>Vælg rapporttype</t>
  </si>
  <si>
    <t>Udgiftsbaseret</t>
  </si>
  <si>
    <t>Variabler</t>
  </si>
  <si>
    <t>37000201114 Holmegaardskolen</t>
  </si>
  <si>
    <t>Nyeste data</t>
  </si>
  <si>
    <t>&lt;=1250</t>
  </si>
  <si>
    <t>Kundeidentifikation</t>
  </si>
  <si>
    <t>Hierarki for profitcenter</t>
  </si>
  <si>
    <t>Næstved kommune (0037000200020)</t>
  </si>
  <si>
    <t>Samlet resultat</t>
  </si>
  <si>
    <t>PSP-element</t>
  </si>
  <si>
    <t>DKK</t>
  </si>
  <si>
    <t>Total</t>
  </si>
  <si>
    <t>Inventar</t>
  </si>
  <si>
    <t>Køb og salg af pladser</t>
  </si>
  <si>
    <t>Dagbehandling udlagt til skolerne</t>
  </si>
  <si>
    <t>Holmegaardskolen SFO</t>
  </si>
  <si>
    <t>Forældrebetaling inkl. fripl/søskenderab</t>
  </si>
  <si>
    <t>Holmegaardskolen almen</t>
  </si>
  <si>
    <t>Løn</t>
  </si>
  <si>
    <t>Personaleudgifter</t>
  </si>
  <si>
    <t>Ejendomsudgifter</t>
  </si>
  <si>
    <t>Sum almen</t>
  </si>
  <si>
    <t>Kontrol</t>
  </si>
  <si>
    <t>Dif</t>
  </si>
  <si>
    <t>Sum SFO</t>
  </si>
  <si>
    <t>Forældrebetaling</t>
  </si>
  <si>
    <t>Specialundervisning</t>
  </si>
  <si>
    <t>Behandling</t>
  </si>
  <si>
    <t>Støtte i SFO</t>
  </si>
  <si>
    <t>Sum Specialundervisning</t>
  </si>
  <si>
    <t>Løn ledelse og adm.</t>
  </si>
  <si>
    <t>Efter og videreudd.</t>
  </si>
  <si>
    <t>Forbrug</t>
  </si>
  <si>
    <t>Budget</t>
  </si>
  <si>
    <t>Restforbrug</t>
  </si>
  <si>
    <t>Forventet forbrug</t>
  </si>
  <si>
    <t>Forbrugs%</t>
  </si>
  <si>
    <t>Regnskabsårsvariant</t>
  </si>
  <si>
    <t>Kalenderår, 4 særperioder</t>
  </si>
  <si>
    <t>Profitcenter (autorisation)</t>
  </si>
  <si>
    <t>Omkostningssted</t>
  </si>
  <si>
    <t>Omkostningsart</t>
  </si>
  <si>
    <t>Vikar</t>
  </si>
  <si>
    <t>SFO aktiviteter (inkl. it)</t>
  </si>
  <si>
    <t>#</t>
  </si>
  <si>
    <t>Resultat</t>
  </si>
  <si>
    <t>HOLMEGRDSK</t>
  </si>
  <si>
    <t>Holmegaardskolen Vik</t>
  </si>
  <si>
    <t>Holmegaardskolen Ser</t>
  </si>
  <si>
    <t>Holmegaardskolen Led</t>
  </si>
  <si>
    <t>Holmegaardskolen SPC</t>
  </si>
  <si>
    <t>Teknisk service</t>
  </si>
  <si>
    <t xml:space="preserve">Resultat pr. </t>
  </si>
  <si>
    <t>Løn almen (lærer)</t>
  </si>
  <si>
    <t>Holmegaardskolen SFO og Trollskoven</t>
  </si>
  <si>
    <t>Administrationsomkostninger (incl. IT,tlf)</t>
  </si>
  <si>
    <t xml:space="preserve">Undervisningsmaterialer </t>
  </si>
  <si>
    <t xml:space="preserve">Forventede Refusioner </t>
  </si>
  <si>
    <t>Budgetreguleringer</t>
  </si>
  <si>
    <t>Kontoplan</t>
  </si>
  <si>
    <t>370/0020 KMD OPUS Kontoplan</t>
  </si>
  <si>
    <t>Finansområde</t>
  </si>
  <si>
    <t>KMD Opus FI-område</t>
  </si>
  <si>
    <t>Projekt</t>
  </si>
  <si>
    <t>!XG-0000001048 Driftsoverførsler, teknisk psp skoler</t>
  </si>
  <si>
    <t>Skoleår start</t>
  </si>
  <si>
    <t>1. del Forbrug mån fra/til</t>
  </si>
  <si>
    <t>2. del Forbrug mån fra/til</t>
  </si>
  <si>
    <t>JAN - JUL</t>
  </si>
  <si>
    <t>1. del Budget mån fra /til</t>
  </si>
  <si>
    <t>AUG - 016</t>
  </si>
  <si>
    <t>2. del Budget mån fra/til</t>
  </si>
  <si>
    <t>Kapitalmidler</t>
  </si>
  <si>
    <t>Funktionsområde</t>
  </si>
  <si>
    <t>Total (0037000200020)</t>
  </si>
  <si>
    <t>Finans Alle finans og budget infocuber</t>
  </si>
  <si>
    <t>Kapitalmidler Hierarki</t>
  </si>
  <si>
    <t>Forbrug
skoleåret</t>
  </si>
  <si>
    <t>Restkorrigeret
budget
skoleåret</t>
  </si>
  <si>
    <t>Forbrugs %
skoleåret</t>
  </si>
  <si>
    <t>%</t>
  </si>
  <si>
    <t>Forventet udbetaling af 6. ferieuge</t>
  </si>
  <si>
    <t>Støtte til børn i SFO pr. 1-4</t>
  </si>
  <si>
    <t>Dagtilbud Øst - KLY</t>
  </si>
  <si>
    <t>Dagtilbud Nord - KLY</t>
  </si>
  <si>
    <t>Teknisk klynge service</t>
  </si>
  <si>
    <t>Kontrol (alm+led/adm+efterudd+klynger)</t>
  </si>
  <si>
    <t>Hansen, Lene Dyndgaard</t>
  </si>
  <si>
    <t>Lønudgift COVID 19</t>
  </si>
  <si>
    <t>Elevrelaterede udgifter (NY)</t>
  </si>
  <si>
    <t>Restbudget</t>
  </si>
  <si>
    <t>Næstved, skoleårsrapport</t>
  </si>
  <si>
    <t>Version</t>
  </si>
  <si>
    <t>!Ellebækskolen - Driftsoverf. teknisk PSP XG-0000001048-00006; !Fladsåskolen -
Driftsoverf. teknisk PSP XG-0000001048-00003; !Holmegaardsk. - Driftsoverf.
teknisk PSP XG-0000001048-00005; !Kobberbakken - Driftsoverf. teknisk PSP
XG-0000001048-00002; !LL. Næstved - Driftsoverf. teknisk PSP
XG-0000001048-00001; !Susåskolen - Driftsoverf. teknisk PSP XG-0000001048-00004;
!Ungdomsskolen - Driftsoverf. teknisk PSP XG-0000001048-00007</t>
  </si>
  <si>
    <t>Vælg budgetversion(er)</t>
  </si>
  <si>
    <t>IP Finans Budget infocube</t>
  </si>
  <si>
    <t>ZCFIB_370</t>
  </si>
  <si>
    <t>Budget, skoleåret</t>
  </si>
  <si>
    <t>Finanslov 2020</t>
  </si>
  <si>
    <t>Holmegaard spc ledel</t>
  </si>
  <si>
    <t>Holmegaardskolen - K</t>
  </si>
  <si>
    <t>370/0020/Ikke alloke</t>
  </si>
  <si>
    <t>Holmegaardskolen ALM</t>
  </si>
  <si>
    <t>370/Ikke allokeret</t>
  </si>
  <si>
    <t>XG-0000000231</t>
  </si>
  <si>
    <t>XG-0000000234</t>
  </si>
  <si>
    <t>Overskud efter udbud</t>
  </si>
  <si>
    <t>XG-0000000235</t>
  </si>
  <si>
    <t>Personale</t>
  </si>
  <si>
    <t>XG-0000000236</t>
  </si>
  <si>
    <t>Elev-relaterede udgifter</t>
  </si>
  <si>
    <t>XG-0000000238</t>
  </si>
  <si>
    <t>Administration</t>
  </si>
  <si>
    <t>XG-0000000240</t>
  </si>
  <si>
    <t>IT</t>
  </si>
  <si>
    <t>XG-0000000241</t>
  </si>
  <si>
    <t>Materiel</t>
  </si>
  <si>
    <t>XG-0000000242</t>
  </si>
  <si>
    <t>Ejendom Holmegaardskolen ALM</t>
  </si>
  <si>
    <t>Holmegaardskolen Ledelse og Adm</t>
  </si>
  <si>
    <t>XG-0000000243</t>
  </si>
  <si>
    <t>Personale - Ledelse og adm</t>
  </si>
  <si>
    <t>Holmegaardskolen SPC folkeskoler</t>
  </si>
  <si>
    <t>XG-0000000245</t>
  </si>
  <si>
    <t>Holmegaardskolen SPC Kom. Specialsk</t>
  </si>
  <si>
    <t>XG-0000000247</t>
  </si>
  <si>
    <t>Køb af pladser</t>
  </si>
  <si>
    <t>Holmegaardskolen SPC Opholdsstedssk</t>
  </si>
  <si>
    <t>XG-0000000251</t>
  </si>
  <si>
    <t>Spc.underv på opholdssted/dagbeh.skole</t>
  </si>
  <si>
    <t>XG-0000000252</t>
  </si>
  <si>
    <t>XG-0000000256</t>
  </si>
  <si>
    <t>SFO Aktiviteter</t>
  </si>
  <si>
    <t>XG-0000000257</t>
  </si>
  <si>
    <t>Støtte til børn i SFO distriktet</t>
  </si>
  <si>
    <t>Holmegaardskolen SFO Ledelse og adm</t>
  </si>
  <si>
    <t>Holmegaardskolen Fælles Udg/Indt SFO</t>
  </si>
  <si>
    <t>XG-0000000262</t>
  </si>
  <si>
    <t>Holmegaardskolen - KLY</t>
  </si>
  <si>
    <t>XG-0000002755</t>
  </si>
  <si>
    <t>XG-0000002758</t>
  </si>
  <si>
    <t>XG-0000002761</t>
  </si>
  <si>
    <t>Teknisk klynge service KLY</t>
  </si>
  <si>
    <t>Teknisk klynge service Øst KLY</t>
  </si>
  <si>
    <t>Teknisk klynge service Nord KLY</t>
  </si>
  <si>
    <t>Teknisk klynge service i alt</t>
  </si>
  <si>
    <t>Personaleudgifter almen</t>
  </si>
  <si>
    <t>Personaleudgifter ledelse</t>
  </si>
  <si>
    <t>xg-0000000235</t>
  </si>
  <si>
    <t>xg-0000000243</t>
  </si>
  <si>
    <t>xg-0000000236</t>
  </si>
  <si>
    <t>xg-0000000241</t>
  </si>
  <si>
    <t>xg-0000000242</t>
  </si>
  <si>
    <t>xg-0000000238</t>
  </si>
  <si>
    <t xml:space="preserve">IT </t>
  </si>
  <si>
    <t>Administrationsomkostninger</t>
  </si>
  <si>
    <t>Administrationsomkostninger (incl. IT,tlf) i alt</t>
  </si>
  <si>
    <t>Personaleudgifter SFO</t>
  </si>
  <si>
    <t>Personaleudgifter SFO ledelse</t>
  </si>
  <si>
    <t>Personaleudgifter SFO ialt</t>
  </si>
  <si>
    <t>xg-0000000254</t>
  </si>
  <si>
    <t>xg-0000000261</t>
  </si>
  <si>
    <t>xg-0000000256</t>
  </si>
  <si>
    <t>xg-0000000255</t>
  </si>
  <si>
    <t>xg-0000000259</t>
  </si>
  <si>
    <t xml:space="preserve">Administrationsomkostninger </t>
  </si>
  <si>
    <t>xg-0000000262</t>
  </si>
  <si>
    <t>xg-0000002707</t>
  </si>
  <si>
    <t>xg-0000000245</t>
  </si>
  <si>
    <t>xg-0000000247</t>
  </si>
  <si>
    <t>xg-0000000251</t>
  </si>
  <si>
    <t xml:space="preserve">Køb og salg af pladser folkeskoler </t>
  </si>
  <si>
    <t>Køb og salg af pladser specialskoler</t>
  </si>
  <si>
    <t>Køb og salg af pladser opholdsstedsskoler</t>
  </si>
  <si>
    <t>xg-0000000252</t>
  </si>
  <si>
    <t>xg-0000000257</t>
  </si>
  <si>
    <t>xg-0000000240</t>
  </si>
  <si>
    <t>xg-0000000260</t>
  </si>
  <si>
    <t>Skjult hjælpekolonne</t>
  </si>
  <si>
    <t>Personaleudgifter incl. udd. i alt</t>
  </si>
  <si>
    <t>Forventet forbrugs-procent</t>
  </si>
  <si>
    <t>xg-0000000235-00001</t>
  </si>
  <si>
    <t>xg-0000000243-00001</t>
  </si>
  <si>
    <t xml:space="preserve">Efter og videreudd. Ledelse og adm. </t>
  </si>
  <si>
    <t>Efter og videreudd. I alt</t>
  </si>
  <si>
    <t xml:space="preserve">Efter og videreudd. Almen </t>
  </si>
  <si>
    <t>Uddannelse og kurser</t>
  </si>
  <si>
    <t>Holmegaardskolen SPC Regionale tilbud</t>
  </si>
  <si>
    <t>XG-0000000250</t>
  </si>
  <si>
    <t>Spc.underv i regionale tilbud</t>
  </si>
  <si>
    <t>XG-0000001475</t>
  </si>
  <si>
    <t>Køb fritidstilb til elever m særl. behov</t>
  </si>
  <si>
    <t>xg-0000000096</t>
  </si>
  <si>
    <t>Eksterne løn-omkostningsfordeling</t>
  </si>
  <si>
    <t>xg-0000000250</t>
  </si>
  <si>
    <t>Køb af pladser i regionale tilbud</t>
  </si>
  <si>
    <t>xg-0000001475</t>
  </si>
  <si>
    <t>Fritidstilbud til elever med særlige behov</t>
  </si>
  <si>
    <t>Køb og salg af SFO</t>
  </si>
  <si>
    <t>xg-0000002894</t>
  </si>
  <si>
    <t>XG-0000000001</t>
  </si>
  <si>
    <t>Driftsoverførsel</t>
  </si>
  <si>
    <t>XG-0000000261</t>
  </si>
  <si>
    <t xml:space="preserve">Personaleudgifter ledelse excl. Udd. </t>
  </si>
  <si>
    <t>Personaleudgifter almen excl. Udd.</t>
  </si>
  <si>
    <t>Løn barselsvikar</t>
  </si>
  <si>
    <t xml:space="preserve">Personaleudgifter excl. udd. </t>
  </si>
  <si>
    <t xml:space="preserve">Efter og videreudd. </t>
  </si>
  <si>
    <t xml:space="preserve">Personaleudgifter SFO </t>
  </si>
  <si>
    <t xml:space="preserve">Administrationsomkostninger (incl. IT,tlf) </t>
  </si>
  <si>
    <t xml:space="preserve">Holmegaardskolen SFO </t>
  </si>
  <si>
    <t>ZCFORPL; ZCOKO_BU2; ZCSL3_370; ZCFIB_370; ZCFIBO370</t>
  </si>
  <si>
    <t>ZCSL3_370; ZCFORPL; ZCFIB_370; ZCFIBO370; ZCOKO_BU2</t>
  </si>
  <si>
    <t>Skal tastes manuelt obs - skoleåropdeling</t>
  </si>
  <si>
    <t>Omkostningsfordeling</t>
  </si>
  <si>
    <t>XG-0000000254</t>
  </si>
  <si>
    <t>Holmegaard-Trollskoven SFO</t>
  </si>
  <si>
    <t xml:space="preserve">OBS: Forventet forbrug skal tjekkes </t>
  </si>
  <si>
    <t>XG-0000000260</t>
  </si>
  <si>
    <t>Bemærkninger</t>
  </si>
  <si>
    <t xml:space="preserve">   Heraf ekstra udgifter COVID 19</t>
  </si>
  <si>
    <t xml:space="preserve">   Heraf ekstra udgifter til Trivsel</t>
  </si>
  <si>
    <t>Kommunale budgetreguleringer</t>
  </si>
  <si>
    <t>Næstved Kommune 2022 - 2025 (0037000200020)</t>
  </si>
  <si>
    <t>Eksterne løn-omkostninger</t>
  </si>
  <si>
    <t xml:space="preserve">Løn til faste vikarer, flyttet til Løn almen </t>
  </si>
  <si>
    <t>Løn til faste vikarer, fra vikar løn</t>
  </si>
  <si>
    <t>Tjek budgettal med økonomirapport</t>
  </si>
  <si>
    <t>vikaromplacering</t>
  </si>
  <si>
    <t>juli</t>
  </si>
  <si>
    <t>Holmeg vikar Ukraine</t>
  </si>
  <si>
    <t>Holm. Ukraine flygtn</t>
  </si>
  <si>
    <t>Løn vedr. Ukrainske elever</t>
  </si>
  <si>
    <t>XG-0000000258</t>
  </si>
  <si>
    <t>Køb og salg -SFO pladser andre kommuner</t>
  </si>
  <si>
    <t>Ekstra udg til sommerfest - finansmidler vedr covid (tildelt i 20/21)</t>
  </si>
  <si>
    <t>xg-0000000258</t>
  </si>
  <si>
    <t>Salg af pladser ande kommuner</t>
  </si>
  <si>
    <t>Forventet ref. af udg. vedr. Ukrainske lærere</t>
  </si>
  <si>
    <t>Resultat excl. Udgifter til Ukrainske elever</t>
  </si>
  <si>
    <t>Der er flere børn indskrevet i SFO i år i forhold til sidste år - specielt i afd. Toksværd hvilket betyder,</t>
  </si>
  <si>
    <t>Øget børnetal</t>
  </si>
  <si>
    <t xml:space="preserve">at udgifterne på 343 tkr. vedr. de Ukrainske elever bliver refunderet, </t>
  </si>
  <si>
    <t xml:space="preserve">så årets resultat viser et merforbrug på 739 tkr. </t>
  </si>
  <si>
    <t>at vores lønudgifter er steget, men samtidig har vi fået mere forældrebetaling, så SFO'en løber rundt</t>
  </si>
  <si>
    <t xml:space="preserve">Igen i år overskrider udgifterne til 20.2-området det tildelte budget med 7.843 tkr., </t>
  </si>
  <si>
    <t xml:space="preserve">Pga. langtidssygemeldinger: MB, SF, DH, HL, JT og fratrædelsesgodtgørelse </t>
  </si>
  <si>
    <t>alle lønninger på servicemedarbejderne</t>
  </si>
  <si>
    <t xml:space="preserve">Ikke brugt pga. bla. corona. </t>
  </si>
  <si>
    <t>Langtidssygdom og fratrædelser</t>
  </si>
  <si>
    <t xml:space="preserve">Ny udgift til ekstern 20.2 elev </t>
  </si>
  <si>
    <t>Øgede udg. på kr. 800 tkr. sammenlignet med s.å. (vores buffer) - heraf stigende el/gas-udg. Samt investering af legeplads</t>
  </si>
  <si>
    <t xml:space="preserve">Udgifter til ejendomme er steget med 800 tkr. i forhold til sidste år, her plejer vi at have en buffer, </t>
  </si>
  <si>
    <t>stigningen skyldes bl.a. stigende forbrugsudgifter til el/gas, samt investering i legeplads</t>
  </si>
  <si>
    <t>Lønudgifterne er højere end forventet, da vi har haft en del langtidssygemeldinger og fratrædelsesaftaler</t>
  </si>
  <si>
    <t xml:space="preserve">hvilket svarer til sidste år, vi er stadig udfordret af 20.2 da elever kan komme til uden varsel </t>
  </si>
  <si>
    <t>Det foreløbige resultat viser et merforbrug på 1.127 tkr., vi har en aftale om,</t>
  </si>
  <si>
    <t>Vi har en aftale om at få ref. Udg. vedr. de Ukrainske elever</t>
  </si>
  <si>
    <t>Vi er stadig udfordret på udgifterne til vikar, grundet et højt sygefravær (corona)</t>
  </si>
  <si>
    <t>Resultat fra tidl år</t>
  </si>
  <si>
    <t>2022</t>
  </si>
  <si>
    <t>XG-0000000180</t>
  </si>
  <si>
    <t>XG-0000000264</t>
  </si>
  <si>
    <t>xg-0000000245-00005</t>
  </si>
  <si>
    <t>Salg af pladser andre kommuner</t>
  </si>
  <si>
    <t>xg-0000000245-00006</t>
  </si>
  <si>
    <t>Salg af pladser andre Næstved skoler</t>
  </si>
  <si>
    <t>tastes manuelt</t>
  </si>
  <si>
    <t>Salg af pladser til andre skoler/kommuner</t>
  </si>
  <si>
    <t>Køb af pladser på andre skoler/kommuner</t>
  </si>
  <si>
    <t>xg-0000000264</t>
  </si>
  <si>
    <t>Lejrskole</t>
  </si>
  <si>
    <t>Budget prisreguleret for stigende priser</t>
  </si>
  <si>
    <t>Løn teknisk (klynge) service-pers.</t>
  </si>
  <si>
    <t>Sum almen ex udg. vedr. Ukrainske elever</t>
  </si>
  <si>
    <t>Subtotal ex. udg. til Ukrainske elever</t>
  </si>
  <si>
    <t>Løn vedr. Ukrainske elever 22/23</t>
  </si>
  <si>
    <t>Endeligt Kommunalt budget</t>
  </si>
  <si>
    <t>Finanslovsmidler og feriepenge mm. er indregnet</t>
  </si>
  <si>
    <t>Incl. barselsvikar</t>
  </si>
  <si>
    <t xml:space="preserve">*Der er ikke sket udkontering af løn for fastansatte vikarer  </t>
  </si>
  <si>
    <t>Forventet merforbrug</t>
  </si>
  <si>
    <t>Holm covid vikar</t>
  </si>
  <si>
    <t>XG-0000000096</t>
  </si>
  <si>
    <t>XG-0000002894</t>
  </si>
  <si>
    <t>SPC. Personale</t>
  </si>
  <si>
    <t>Total incl. løn vedr Ukrainske elever</t>
  </si>
  <si>
    <t>Forventet merforbrug incl. løn vedr. Ukainske elever</t>
  </si>
  <si>
    <t>Leasing af legeplads og leje af biler</t>
  </si>
  <si>
    <t xml:space="preserve">fast vikar ovf til løn almen. </t>
  </si>
  <si>
    <t xml:space="preserve">fast vikar ovf til løn SFO </t>
  </si>
  <si>
    <t>fast vikar ovf til løn 20.2</t>
  </si>
  <si>
    <t>XG-0000000255</t>
  </si>
  <si>
    <t>XG-0000000259</t>
  </si>
  <si>
    <t xml:space="preserve">Løn Ukrainske </t>
  </si>
  <si>
    <t>aug-sep</t>
  </si>
  <si>
    <t>okt</t>
  </si>
  <si>
    <t>Løn til faste vikarer, flyttet til Løn spec</t>
  </si>
  <si>
    <t>Løn til faste vikarer, flyttet til Løn SFO</t>
  </si>
  <si>
    <t>Fast vikarløn fra almen til spec.</t>
  </si>
  <si>
    <t xml:space="preserve">Elevrelaterede udgifter </t>
  </si>
  <si>
    <t>XG-0000002707</t>
  </si>
  <si>
    <t>SPC. Elevrelaterede udgifter</t>
  </si>
  <si>
    <t>nov</t>
  </si>
  <si>
    <t>dec</t>
  </si>
  <si>
    <t>jan</t>
  </si>
  <si>
    <t>feb</t>
  </si>
  <si>
    <t xml:space="preserve">kompensation vedr. uddannelse </t>
  </si>
  <si>
    <t>Budgettildeling 874.677 kr. til samlede udg i 2022 (incl kr. 343663,- vedr. 21/22), herudover forventes ref. for resten af skoleåret 2023!</t>
  </si>
  <si>
    <t xml:space="preserve">Løn almen </t>
  </si>
  <si>
    <t>XG-0000003175</t>
  </si>
  <si>
    <t>MakerSpace - egenfinansiering</t>
  </si>
  <si>
    <t xml:space="preserve">Vikaløn MG omposteret aug-sep fra Spec. </t>
  </si>
  <si>
    <t>xg-0000003175</t>
  </si>
  <si>
    <t>Makerspace</t>
  </si>
  <si>
    <t>Undervisningsmaterialer i alt</t>
  </si>
  <si>
    <t xml:space="preserve">Udgifterne til vikar er fortsat stabile på almen- og 20.2 området </t>
  </si>
  <si>
    <t xml:space="preserve">Vi forventer stadig at udgifterne til de Ukrainske elever bliver refunderet. </t>
  </si>
  <si>
    <t xml:space="preserve">1 mio.kr tildelt budget vedr. 20.2 + 572.000,- til underskudsdækning </t>
  </si>
  <si>
    <t>06.02.2023</t>
  </si>
  <si>
    <t>10; 1; 23B</t>
  </si>
  <si>
    <t>JAN - JAN</t>
  </si>
  <si>
    <t>23B</t>
  </si>
  <si>
    <t xml:space="preserve">Udgifterne til ejendomme - både til lønninger og drift er ikke overført til Team ejendomme </t>
  </si>
  <si>
    <t>Vi har fået tildelt yderligere kr. 572.000,- til underskudsdækning af 20.2, til gengæld har vi fået ekstra udgift på ca. 200.000,-  til en elev der er visiteret ud af huset til Holmegaard Heldagsskole med både undervisning og behandling fra februar måned.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</si>
</sst>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,##0;\-#,##0;#,##0;@"/>
    <numFmt numFmtId="166" formatCode="_ * #,##0_ ;_ * \-#,##0_ ;_ * &quot;-&quot;??_ ;_ @_ "/>
    <numFmt numFmtId="167" formatCode="#,##0.0;\-#,##0.0;#,##0.0;@"/>
    <numFmt numFmtId="168" formatCode="0.0%"/>
    <numFmt numFmtId="169" formatCode=";;"/>
  </numFmts>
  <fonts count="52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Unicode MS"/>
    </font>
    <font>
      <b/>
      <sz val="10"/>
      <name val="Verdana"/>
      <family val="2"/>
    </font>
    <font>
      <i/>
      <sz val="10"/>
      <name val="Verdana"/>
      <family val="2"/>
    </font>
    <font>
      <b/>
      <u/>
      <sz val="10"/>
      <color theme="1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u val="singleAccounting"/>
      <sz val="10"/>
      <color theme="1"/>
      <name val="Verdana"/>
      <family val="2"/>
    </font>
    <font>
      <b/>
      <i/>
      <sz val="8"/>
      <color theme="1"/>
      <name val="Verdana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/>
      <diagonal/>
    </border>
    <border>
      <left/>
      <right/>
      <top/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5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49" fontId="18" fillId="33" borderId="0" xfId="0" applyNumberFormat="1" applyFont="1" applyFill="1" applyAlignment="1">
      <alignment wrapText="1"/>
    </xf>
    <xf numFmtId="49" fontId="19" fillId="33" borderId="0" xfId="0" applyNumberFormat="1" applyFont="1" applyFill="1" applyAlignment="1">
      <alignment wrapText="1"/>
    </xf>
    <xf numFmtId="49" fontId="19" fillId="34" borderId="10" xfId="0" applyNumberFormat="1" applyFont="1" applyFill="1" applyBorder="1" applyAlignment="1">
      <alignment horizontal="right" vertical="center" wrapText="1"/>
    </xf>
    <xf numFmtId="49" fontId="19" fillId="35" borderId="10" xfId="0" applyNumberFormat="1" applyFont="1" applyFill="1" applyBorder="1" applyAlignment="1">
      <alignment horizontal="left" vertical="top" wrapText="1"/>
    </xf>
    <xf numFmtId="49" fontId="19" fillId="34" borderId="10" xfId="0" applyNumberFormat="1" applyFont="1" applyFill="1" applyBorder="1" applyAlignment="1">
      <alignment horizontal="left" vertical="center" wrapText="1"/>
    </xf>
    <xf numFmtId="165" fontId="19" fillId="36" borderId="10" xfId="0" applyNumberFormat="1" applyFont="1" applyFill="1" applyBorder="1" applyAlignment="1">
      <alignment horizontal="right" vertical="center" wrapText="1"/>
    </xf>
    <xf numFmtId="165" fontId="19" fillId="33" borderId="10" xfId="0" applyNumberFormat="1" applyFont="1" applyFill="1" applyBorder="1" applyAlignment="1">
      <alignment horizontal="right" vertical="center" wrapText="1"/>
    </xf>
    <xf numFmtId="166" fontId="0" fillId="0" borderId="0" xfId="1" applyNumberFormat="1" applyFont="1" applyFill="1"/>
    <xf numFmtId="49" fontId="0" fillId="34" borderId="10" xfId="0" applyNumberFormat="1" applyFill="1" applyBorder="1" applyAlignment="1">
      <alignment horizontal="right" vertical="center" wrapText="1"/>
    </xf>
    <xf numFmtId="166" fontId="16" fillId="0" borderId="0" xfId="1" applyNumberFormat="1" applyFont="1" applyFill="1"/>
    <xf numFmtId="0" fontId="0" fillId="37" borderId="0" xfId="0" applyFill="1"/>
    <xf numFmtId="0" fontId="0" fillId="38" borderId="0" xfId="0" applyFill="1"/>
    <xf numFmtId="166" fontId="1" fillId="0" borderId="0" xfId="1" applyNumberFormat="1" applyFont="1" applyFill="1"/>
    <xf numFmtId="0" fontId="0" fillId="0" borderId="0" xfId="0" applyFill="1"/>
    <xf numFmtId="0" fontId="38" fillId="0" borderId="0" xfId="0" applyFont="1" applyFill="1"/>
    <xf numFmtId="0" fontId="16" fillId="0" borderId="0" xfId="0" applyFont="1" applyFill="1"/>
    <xf numFmtId="166" fontId="0" fillId="0" borderId="0" xfId="0" applyNumberFormat="1" applyFill="1"/>
    <xf numFmtId="3" fontId="0" fillId="0" borderId="0" xfId="0" applyNumberFormat="1" applyFill="1"/>
    <xf numFmtId="166" fontId="16" fillId="0" borderId="0" xfId="0" applyNumberFormat="1" applyFont="1" applyFill="1"/>
    <xf numFmtId="0" fontId="37" fillId="0" borderId="0" xfId="0" applyFont="1" applyFill="1"/>
    <xf numFmtId="0" fontId="0" fillId="0" borderId="0" xfId="0" applyFill="1" applyBorder="1"/>
    <xf numFmtId="166" fontId="42" fillId="0" borderId="0" xfId="1" applyNumberFormat="1" applyFont="1" applyFill="1"/>
    <xf numFmtId="0" fontId="16" fillId="37" borderId="0" xfId="0" applyFont="1" applyFill="1"/>
    <xf numFmtId="0" fontId="0" fillId="39" borderId="0" xfId="0" applyFill="1" applyBorder="1"/>
    <xf numFmtId="0" fontId="0" fillId="39" borderId="0" xfId="0" applyFill="1"/>
    <xf numFmtId="166" fontId="1" fillId="37" borderId="0" xfId="1" applyNumberFormat="1" applyFont="1" applyFill="1"/>
    <xf numFmtId="166" fontId="0" fillId="37" borderId="0" xfId="0" applyNumberFormat="1" applyFill="1"/>
    <xf numFmtId="166" fontId="0" fillId="37" borderId="0" xfId="1" applyNumberFormat="1" applyFont="1" applyFill="1"/>
    <xf numFmtId="3" fontId="0" fillId="37" borderId="0" xfId="0" applyNumberFormat="1" applyFill="1"/>
    <xf numFmtId="1" fontId="0" fillId="0" borderId="0" xfId="0" applyNumberFormat="1" applyFill="1"/>
    <xf numFmtId="166" fontId="16" fillId="37" borderId="0" xfId="1" applyNumberFormat="1" applyFont="1" applyFill="1" applyAlignment="1">
      <alignment horizontal="right"/>
    </xf>
    <xf numFmtId="166" fontId="16" fillId="37" borderId="0" xfId="0" applyNumberFormat="1" applyFont="1" applyFill="1"/>
    <xf numFmtId="166" fontId="16" fillId="37" borderId="0" xfId="1" applyNumberFormat="1" applyFont="1" applyFill="1"/>
    <xf numFmtId="166" fontId="37" fillId="37" borderId="0" xfId="1" applyNumberFormat="1" applyFont="1" applyFill="1"/>
    <xf numFmtId="3" fontId="0" fillId="37" borderId="0" xfId="1" applyNumberFormat="1" applyFont="1" applyFill="1"/>
    <xf numFmtId="166" fontId="36" fillId="0" borderId="0" xfId="1" applyNumberFormat="1" applyFont="1" applyFill="1" applyAlignment="1">
      <alignment vertical="center"/>
    </xf>
    <xf numFmtId="3" fontId="0" fillId="39" borderId="0" xfId="0" applyNumberFormat="1" applyFill="1"/>
    <xf numFmtId="166" fontId="37" fillId="0" borderId="0" xfId="1" applyNumberFormat="1" applyFont="1" applyFill="1"/>
    <xf numFmtId="3" fontId="0" fillId="0" borderId="0" xfId="1" applyNumberFormat="1" applyFont="1" applyFill="1"/>
    <xf numFmtId="166" fontId="1" fillId="0" borderId="0" xfId="1" applyNumberFormat="1" applyFont="1" applyFill="1" applyAlignment="1">
      <alignment vertical="center"/>
    </xf>
    <xf numFmtId="166" fontId="43" fillId="0" borderId="0" xfId="1" applyNumberFormat="1" applyFont="1" applyFill="1"/>
    <xf numFmtId="14" fontId="0" fillId="39" borderId="20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0" fontId="16" fillId="37" borderId="0" xfId="84" applyNumberFormat="1" applyFont="1" applyFill="1"/>
    <xf numFmtId="4" fontId="16" fillId="37" borderId="0" xfId="0" applyNumberFormat="1" applyFont="1" applyFill="1"/>
    <xf numFmtId="0" fontId="0" fillId="37" borderId="0" xfId="0" applyFill="1" applyAlignment="1">
      <alignment wrapText="1"/>
    </xf>
    <xf numFmtId="166" fontId="16" fillId="37" borderId="0" xfId="1" applyNumberFormat="1" applyFont="1" applyFill="1" applyAlignment="1">
      <alignment horizontal="center" wrapText="1"/>
    </xf>
    <xf numFmtId="0" fontId="16" fillId="37" borderId="0" xfId="0" applyFont="1" applyFill="1" applyAlignment="1">
      <alignment horizontal="center" wrapText="1"/>
    </xf>
    <xf numFmtId="10" fontId="0" fillId="37" borderId="0" xfId="84" applyNumberFormat="1" applyFont="1" applyFill="1"/>
    <xf numFmtId="4" fontId="0" fillId="37" borderId="0" xfId="0" applyNumberFormat="1" applyFill="1"/>
    <xf numFmtId="2" fontId="0" fillId="37" borderId="0" xfId="0" applyNumberFormat="1" applyFill="1"/>
    <xf numFmtId="2" fontId="37" fillId="37" borderId="0" xfId="0" applyNumberFormat="1" applyFont="1" applyFill="1"/>
    <xf numFmtId="4" fontId="37" fillId="37" borderId="0" xfId="0" applyNumberFormat="1" applyFont="1" applyFill="1"/>
    <xf numFmtId="3" fontId="16" fillId="37" borderId="0" xfId="0" applyNumberFormat="1" applyFont="1" applyFill="1"/>
    <xf numFmtId="0" fontId="41" fillId="0" borderId="0" xfId="0" applyFont="1" applyAlignment="1">
      <alignment wrapText="1"/>
    </xf>
    <xf numFmtId="167" fontId="19" fillId="33" borderId="10" xfId="0" applyNumberFormat="1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right" vertical="center" wrapText="1"/>
    </xf>
    <xf numFmtId="167" fontId="19" fillId="36" borderId="10" xfId="0" applyNumberFormat="1" applyFont="1" applyFill="1" applyBorder="1" applyAlignment="1">
      <alignment horizontal="right" vertical="center" wrapText="1"/>
    </xf>
    <xf numFmtId="0" fontId="19" fillId="36" borderId="10" xfId="0" applyFont="1" applyFill="1" applyBorder="1" applyAlignment="1">
      <alignment horizontal="right" vertical="center" wrapText="1"/>
    </xf>
    <xf numFmtId="0" fontId="19" fillId="34" borderId="10" xfId="0" applyNumberFormat="1" applyFont="1" applyFill="1" applyBorder="1" applyAlignment="1">
      <alignment horizontal="left" vertical="center" wrapText="1"/>
    </xf>
    <xf numFmtId="166" fontId="47" fillId="0" borderId="0" xfId="0" applyNumberFormat="1" applyFont="1" applyFill="1"/>
    <xf numFmtId="10" fontId="47" fillId="39" borderId="20" xfId="0" applyNumberFormat="1" applyFont="1" applyFill="1" applyBorder="1"/>
    <xf numFmtId="3" fontId="16" fillId="37" borderId="0" xfId="1" applyNumberFormat="1" applyFont="1" applyFill="1"/>
    <xf numFmtId="166" fontId="0" fillId="39" borderId="21" xfId="1" applyNumberFormat="1" applyFont="1" applyFill="1" applyBorder="1"/>
    <xf numFmtId="0" fontId="16" fillId="39" borderId="23" xfId="0" applyFont="1" applyFill="1" applyBorder="1"/>
    <xf numFmtId="166" fontId="16" fillId="39" borderId="24" xfId="0" applyNumberFormat="1" applyFont="1" applyFill="1" applyBorder="1"/>
    <xf numFmtId="3" fontId="0" fillId="39" borderId="0" xfId="0" applyNumberFormat="1" applyFill="1" applyAlignment="1">
      <alignment horizontal="center"/>
    </xf>
    <xf numFmtId="0" fontId="0" fillId="39" borderId="0" xfId="0" applyFill="1" applyAlignment="1">
      <alignment horizontal="center"/>
    </xf>
    <xf numFmtId="166" fontId="0" fillId="39" borderId="0" xfId="0" applyNumberFormat="1" applyFill="1" applyAlignment="1">
      <alignment horizontal="center"/>
    </xf>
    <xf numFmtId="166" fontId="0" fillId="39" borderId="0" xfId="0" applyNumberFormat="1" applyFill="1"/>
    <xf numFmtId="166" fontId="0" fillId="39" borderId="0" xfId="1" applyNumberFormat="1" applyFont="1" applyFill="1"/>
    <xf numFmtId="166" fontId="0" fillId="39" borderId="22" xfId="1" applyNumberFormat="1" applyFont="1" applyFill="1" applyBorder="1"/>
    <xf numFmtId="0" fontId="0" fillId="39" borderId="28" xfId="0" applyFill="1" applyBorder="1"/>
    <xf numFmtId="0" fontId="47" fillId="0" borderId="0" xfId="0" applyFont="1" applyFill="1"/>
    <xf numFmtId="0" fontId="48" fillId="0" borderId="0" xfId="0" applyFont="1" applyFill="1"/>
    <xf numFmtId="166" fontId="47" fillId="37" borderId="0" xfId="1" applyNumberFormat="1" applyFont="1" applyFill="1"/>
    <xf numFmtId="0" fontId="47" fillId="0" borderId="0" xfId="0" applyFont="1"/>
    <xf numFmtId="0" fontId="49" fillId="0" borderId="0" xfId="0" applyFont="1" applyFill="1"/>
    <xf numFmtId="166" fontId="48" fillId="37" borderId="0" xfId="0" applyNumberFormat="1" applyFont="1" applyFill="1"/>
    <xf numFmtId="0" fontId="48" fillId="37" borderId="0" xfId="0" applyFont="1" applyFill="1"/>
    <xf numFmtId="0" fontId="0" fillId="40" borderId="0" xfId="0" applyFill="1"/>
    <xf numFmtId="166" fontId="0" fillId="40" borderId="0" xfId="1" applyNumberFormat="1" applyFont="1" applyFill="1"/>
    <xf numFmtId="166" fontId="16" fillId="40" borderId="0" xfId="1" applyNumberFormat="1" applyFont="1" applyFill="1"/>
    <xf numFmtId="166" fontId="0" fillId="40" borderId="0" xfId="0" applyNumberFormat="1" applyFill="1"/>
    <xf numFmtId="0" fontId="38" fillId="37" borderId="0" xfId="0" applyFont="1" applyFill="1"/>
    <xf numFmtId="0" fontId="37" fillId="37" borderId="0" xfId="0" applyFont="1" applyFill="1"/>
    <xf numFmtId="166" fontId="43" fillId="37" borderId="0" xfId="1" applyNumberFormat="1" applyFont="1" applyFill="1"/>
    <xf numFmtId="166" fontId="45" fillId="37" borderId="0" xfId="1" applyNumberFormat="1" applyFont="1" applyFill="1"/>
    <xf numFmtId="166" fontId="46" fillId="37" borderId="0" xfId="1" applyNumberFormat="1" applyFont="1" applyFill="1"/>
    <xf numFmtId="0" fontId="44" fillId="37" borderId="0" xfId="0" applyFont="1" applyFill="1"/>
    <xf numFmtId="2" fontId="16" fillId="37" borderId="0" xfId="0" applyNumberFormat="1" applyFont="1" applyFill="1"/>
    <xf numFmtId="0" fontId="0" fillId="41" borderId="0" xfId="0" applyFill="1"/>
    <xf numFmtId="3" fontId="0" fillId="41" borderId="0" xfId="0" applyNumberFormat="1" applyFill="1"/>
    <xf numFmtId="14" fontId="0" fillId="37" borderId="0" xfId="1" applyNumberFormat="1" applyFont="1" applyFill="1" applyBorder="1" applyAlignment="1">
      <alignment horizontal="center"/>
    </xf>
    <xf numFmtId="3" fontId="0" fillId="40" borderId="0" xfId="0" applyNumberFormat="1" applyFill="1"/>
    <xf numFmtId="10" fontId="0" fillId="40" borderId="0" xfId="84" applyNumberFormat="1" applyFont="1" applyFill="1"/>
    <xf numFmtId="10" fontId="0" fillId="41" borderId="0" xfId="84" applyNumberFormat="1" applyFont="1" applyFill="1"/>
    <xf numFmtId="2" fontId="0" fillId="41" borderId="0" xfId="0" applyNumberFormat="1" applyFill="1"/>
    <xf numFmtId="10" fontId="16" fillId="41" borderId="0" xfId="84" applyNumberFormat="1" applyFont="1" applyFill="1"/>
    <xf numFmtId="2" fontId="16" fillId="41" borderId="0" xfId="0" applyNumberFormat="1" applyFont="1" applyFill="1"/>
    <xf numFmtId="2" fontId="37" fillId="41" borderId="0" xfId="0" applyNumberFormat="1" applyFont="1" applyFill="1"/>
    <xf numFmtId="3" fontId="16" fillId="41" borderId="0" xfId="0" applyNumberFormat="1" applyFont="1" applyFill="1"/>
    <xf numFmtId="0" fontId="0" fillId="41" borderId="0" xfId="0" applyFill="1" applyBorder="1" applyAlignment="1">
      <alignment horizontal="center" vertical="top" wrapText="1"/>
    </xf>
    <xf numFmtId="10" fontId="1" fillId="37" borderId="0" xfId="84" applyNumberFormat="1" applyFont="1" applyFill="1"/>
    <xf numFmtId="10" fontId="1" fillId="41" borderId="0" xfId="84" applyNumberFormat="1" applyFont="1" applyFill="1"/>
    <xf numFmtId="166" fontId="0" fillId="37" borderId="0" xfId="0" applyNumberFormat="1" applyFont="1" applyFill="1"/>
    <xf numFmtId="0" fontId="0" fillId="37" borderId="0" xfId="0" applyFont="1" applyFill="1"/>
    <xf numFmtId="166" fontId="16" fillId="37" borderId="32" xfId="1" applyNumberFormat="1" applyFont="1" applyFill="1" applyBorder="1"/>
    <xf numFmtId="0" fontId="0" fillId="39" borderId="0" xfId="0" applyFill="1" applyBorder="1" applyAlignment="1">
      <alignment horizontal="left" vertical="center"/>
    </xf>
    <xf numFmtId="0" fontId="0" fillId="39" borderId="28" xfId="0" applyFill="1" applyBorder="1" applyAlignment="1">
      <alignment horizontal="left" vertical="center"/>
    </xf>
    <xf numFmtId="0" fontId="0" fillId="39" borderId="29" xfId="0" applyFill="1" applyBorder="1" applyAlignment="1">
      <alignment horizontal="left" vertical="center"/>
    </xf>
    <xf numFmtId="0" fontId="16" fillId="39" borderId="25" xfId="0" applyFont="1" applyFill="1" applyBorder="1"/>
    <xf numFmtId="166" fontId="0" fillId="39" borderId="26" xfId="1" applyNumberFormat="1" applyFont="1" applyFill="1" applyBorder="1"/>
    <xf numFmtId="166" fontId="16" fillId="39" borderId="26" xfId="1" applyNumberFormat="1" applyFont="1" applyFill="1" applyBorder="1"/>
    <xf numFmtId="3" fontId="16" fillId="39" borderId="27" xfId="0" applyNumberFormat="1" applyFont="1" applyFill="1" applyBorder="1"/>
    <xf numFmtId="166" fontId="0" fillId="39" borderId="0" xfId="1" applyNumberFormat="1" applyFont="1" applyFill="1" applyBorder="1"/>
    <xf numFmtId="166" fontId="16" fillId="39" borderId="0" xfId="1" applyNumberFormat="1" applyFont="1" applyFill="1" applyBorder="1"/>
    <xf numFmtId="0" fontId="0" fillId="39" borderId="29" xfId="0" applyFill="1" applyBorder="1"/>
    <xf numFmtId="0" fontId="0" fillId="39" borderId="30" xfId="0" applyFill="1" applyBorder="1"/>
    <xf numFmtId="166" fontId="16" fillId="39" borderId="22" xfId="1" applyNumberFormat="1" applyFont="1" applyFill="1" applyBorder="1"/>
    <xf numFmtId="0" fontId="0" fillId="39" borderId="31" xfId="0" applyFill="1" applyBorder="1"/>
    <xf numFmtId="10" fontId="16" fillId="37" borderId="32" xfId="84" applyNumberFormat="1" applyFont="1" applyFill="1" applyBorder="1"/>
    <xf numFmtId="166" fontId="0" fillId="37" borderId="22" xfId="1" applyNumberFormat="1" applyFont="1" applyFill="1" applyBorder="1"/>
    <xf numFmtId="10" fontId="0" fillId="37" borderId="22" xfId="84" applyNumberFormat="1" applyFont="1" applyFill="1" applyBorder="1"/>
    <xf numFmtId="166" fontId="36" fillId="37" borderId="22" xfId="1" applyNumberFormat="1" applyFont="1" applyFill="1" applyBorder="1"/>
    <xf numFmtId="166" fontId="1" fillId="37" borderId="22" xfId="1" applyNumberFormat="1" applyFont="1" applyFill="1" applyBorder="1"/>
    <xf numFmtId="166" fontId="1" fillId="40" borderId="0" xfId="1" applyNumberFormat="1" applyFont="1" applyFill="1"/>
    <xf numFmtId="0" fontId="16" fillId="37" borderId="0" xfId="0" applyFont="1" applyFill="1" applyBorder="1"/>
    <xf numFmtId="166" fontId="50" fillId="37" borderId="0" xfId="1" applyNumberFormat="1" applyFont="1" applyFill="1" applyAlignment="1">
      <alignment horizontal="center"/>
    </xf>
    <xf numFmtId="0" fontId="50" fillId="37" borderId="0" xfId="0" applyFont="1" applyFill="1" applyAlignment="1">
      <alignment horizontal="center"/>
    </xf>
    <xf numFmtId="0" fontId="50" fillId="41" borderId="0" xfId="0" applyFont="1" applyFill="1" applyAlignment="1">
      <alignment horizontal="center"/>
    </xf>
    <xf numFmtId="0" fontId="50" fillId="37" borderId="0" xfId="0" applyFont="1" applyFill="1"/>
    <xf numFmtId="0" fontId="0" fillId="0" borderId="0" xfId="0" applyFont="1" applyFill="1"/>
    <xf numFmtId="0" fontId="0" fillId="39" borderId="28" xfId="0" applyFill="1" applyBorder="1" applyAlignment="1">
      <alignment horizontal="left" vertical="center"/>
    </xf>
    <xf numFmtId="0" fontId="0" fillId="39" borderId="0" xfId="0" applyFill="1" applyBorder="1" applyAlignment="1">
      <alignment horizontal="left" vertical="center"/>
    </xf>
    <xf numFmtId="0" fontId="0" fillId="39" borderId="29" xfId="0" applyFill="1" applyBorder="1" applyAlignment="1">
      <alignment horizontal="left" vertical="center"/>
    </xf>
    <xf numFmtId="166" fontId="1" fillId="37" borderId="0" xfId="1" applyNumberFormat="1" applyFont="1" applyFill="1" applyAlignment="1">
      <alignment vertical="center"/>
    </xf>
    <xf numFmtId="166" fontId="37" fillId="37" borderId="0" xfId="0" applyNumberFormat="1" applyFont="1" applyFill="1"/>
    <xf numFmtId="0" fontId="0" fillId="37" borderId="33" xfId="0" applyFill="1" applyBorder="1"/>
    <xf numFmtId="0" fontId="46" fillId="0" borderId="0" xfId="0" applyFont="1" applyFill="1"/>
    <xf numFmtId="3" fontId="46" fillId="37" borderId="0" xfId="1" applyNumberFormat="1" applyFont="1" applyFill="1"/>
    <xf numFmtId="0" fontId="51" fillId="0" borderId="0" xfId="0" applyFont="1" applyFill="1"/>
    <xf numFmtId="166" fontId="16" fillId="42" borderId="0" xfId="1" applyNumberFormat="1" applyFont="1" applyFill="1"/>
    <xf numFmtId="0" fontId="0" fillId="42" borderId="0" xfId="0" applyFill="1"/>
    <xf numFmtId="3" fontId="47" fillId="0" borderId="0" xfId="0" applyNumberFormat="1" applyFont="1" applyFill="1" applyBorder="1"/>
    <xf numFmtId="0" fontId="0" fillId="0" borderId="0" xfId="0" applyBorder="1"/>
    <xf numFmtId="0" fontId="47" fillId="0" borderId="0" xfId="0" applyFont="1" applyFill="1" applyBorder="1"/>
    <xf numFmtId="0" fontId="0" fillId="39" borderId="0" xfId="0" applyFill="1" applyBorder="1" applyAlignment="1"/>
    <xf numFmtId="0" fontId="0" fillId="39" borderId="37" xfId="0" applyFill="1" applyBorder="1" applyAlignment="1"/>
    <xf numFmtId="0" fontId="0" fillId="39" borderId="38" xfId="0" applyFill="1" applyBorder="1"/>
    <xf numFmtId="0" fontId="47" fillId="37" borderId="0" xfId="0" applyFont="1" applyFill="1"/>
    <xf numFmtId="0" fontId="0" fillId="43" borderId="0" xfId="0" applyFill="1"/>
    <xf numFmtId="166" fontId="16" fillId="43" borderId="0" xfId="1" applyNumberFormat="1" applyFont="1" applyFill="1"/>
    <xf numFmtId="166" fontId="16" fillId="43" borderId="0" xfId="1" applyNumberFormat="1" applyFont="1" applyFill="1" applyAlignment="1">
      <alignment horizontal="center" wrapText="1"/>
    </xf>
    <xf numFmtId="166" fontId="1" fillId="43" borderId="0" xfId="1" applyNumberFormat="1" applyFont="1" applyFill="1"/>
    <xf numFmtId="166" fontId="36" fillId="43" borderId="0" xfId="1" applyNumberFormat="1" applyFont="1" applyFill="1"/>
    <xf numFmtId="166" fontId="36" fillId="43" borderId="0" xfId="1" applyNumberFormat="1" applyFont="1" applyFill="1" applyAlignment="1">
      <alignment vertical="center"/>
    </xf>
    <xf numFmtId="166" fontId="1" fillId="43" borderId="0" xfId="1" applyNumberFormat="1" applyFont="1" applyFill="1" applyAlignment="1">
      <alignment vertical="center"/>
    </xf>
    <xf numFmtId="166" fontId="0" fillId="43" borderId="0" xfId="1" applyNumberFormat="1" applyFont="1" applyFill="1"/>
    <xf numFmtId="166" fontId="42" fillId="43" borderId="0" xfId="1" applyNumberFormat="1" applyFont="1" applyFill="1"/>
    <xf numFmtId="166" fontId="43" fillId="43" borderId="0" xfId="1" applyNumberFormat="1" applyFont="1" applyFill="1"/>
    <xf numFmtId="166" fontId="37" fillId="43" borderId="0" xfId="1" applyNumberFormat="1" applyFont="1" applyFill="1"/>
    <xf numFmtId="3" fontId="16" fillId="43" borderId="0" xfId="1" applyNumberFormat="1" applyFont="1" applyFill="1"/>
    <xf numFmtId="166" fontId="16" fillId="43" borderId="0" xfId="0" applyNumberFormat="1" applyFont="1" applyFill="1"/>
    <xf numFmtId="1" fontId="16" fillId="42" borderId="0" xfId="0" applyNumberFormat="1" applyFont="1" applyFill="1"/>
    <xf numFmtId="0" fontId="16" fillId="42" borderId="0" xfId="0" applyFont="1" applyFill="1"/>
    <xf numFmtId="166" fontId="0" fillId="42" borderId="0" xfId="0" applyNumberFormat="1" applyFill="1"/>
    <xf numFmtId="10" fontId="0" fillId="42" borderId="0" xfId="84" applyNumberFormat="1" applyFont="1" applyFill="1"/>
    <xf numFmtId="4" fontId="16" fillId="42" borderId="0" xfId="0" applyNumberFormat="1" applyFont="1" applyFill="1"/>
    <xf numFmtId="0" fontId="48" fillId="42" borderId="0" xfId="0" applyFont="1" applyFill="1"/>
    <xf numFmtId="0" fontId="47" fillId="42" borderId="0" xfId="0" applyFont="1" applyFill="1"/>
    <xf numFmtId="9" fontId="16" fillId="37" borderId="0" xfId="84" applyFont="1" applyFill="1"/>
    <xf numFmtId="0" fontId="0" fillId="39" borderId="37" xfId="0" applyFill="1" applyBorder="1" applyAlignment="1">
      <alignment horizontal="left" wrapText="1"/>
    </xf>
    <xf numFmtId="0" fontId="0" fillId="39" borderId="0" xfId="0" applyFill="1" applyBorder="1" applyAlignment="1">
      <alignment horizontal="left" wrapText="1"/>
    </xf>
    <xf numFmtId="0" fontId="0" fillId="39" borderId="38" xfId="0" applyFill="1" applyBorder="1" applyAlignment="1">
      <alignment horizontal="left" wrapText="1"/>
    </xf>
    <xf numFmtId="166" fontId="16" fillId="44" borderId="0" xfId="0" applyNumberFormat="1" applyFont="1" applyFill="1"/>
    <xf numFmtId="166" fontId="0" fillId="44" borderId="0" xfId="1" applyNumberFormat="1" applyFont="1" applyFill="1"/>
    <xf numFmtId="0" fontId="0" fillId="44" borderId="0" xfId="0" applyFill="1"/>
    <xf numFmtId="166" fontId="36" fillId="37" borderId="0" xfId="1" applyNumberFormat="1" applyFont="1" applyFill="1"/>
    <xf numFmtId="166" fontId="0" fillId="37" borderId="0" xfId="1" applyNumberFormat="1" applyFont="1" applyFill="1" applyBorder="1"/>
    <xf numFmtId="166" fontId="47" fillId="37" borderId="0" xfId="0" applyNumberFormat="1" applyFont="1" applyFill="1"/>
    <xf numFmtId="0" fontId="49" fillId="37" borderId="0" xfId="0" applyFont="1" applyFill="1"/>
    <xf numFmtId="166" fontId="47" fillId="0" borderId="0" xfId="1" applyNumberFormat="1" applyFont="1" applyFill="1"/>
    <xf numFmtId="0" fontId="0" fillId="45" borderId="0" xfId="0" applyFill="1"/>
    <xf numFmtId="3" fontId="0" fillId="39" borderId="0" xfId="0" applyNumberFormat="1" applyFill="1" applyBorder="1" applyAlignment="1"/>
    <xf numFmtId="166" fontId="0" fillId="45" borderId="0" xfId="1" applyNumberFormat="1" applyFont="1" applyFill="1" applyBorder="1"/>
    <xf numFmtId="166" fontId="0" fillId="45" borderId="22" xfId="1" applyNumberFormat="1" applyFont="1" applyFill="1" applyBorder="1"/>
    <xf numFmtId="166" fontId="1" fillId="43" borderId="0" xfId="1" applyNumberFormat="1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0" xfId="1" applyNumberFormat="1" applyFont="1" applyFill="1" applyBorder="1"/>
    <xf numFmtId="0" fontId="0" fillId="37" borderId="0" xfId="0" applyFill="1" applyBorder="1"/>
    <xf numFmtId="10" fontId="0" fillId="37" borderId="0" xfId="84" applyNumberFormat="1" applyFont="1" applyFill="1" applyBorder="1" applyAlignment="1">
      <alignment vertical="center"/>
    </xf>
    <xf numFmtId="166" fontId="0" fillId="37" borderId="0" xfId="0" applyNumberFormat="1" applyFill="1" applyBorder="1" applyAlignment="1">
      <alignment vertical="center"/>
    </xf>
    <xf numFmtId="166" fontId="0" fillId="37" borderId="0" xfId="0" applyNumberFormat="1" applyFill="1" applyBorder="1"/>
    <xf numFmtId="168" fontId="0" fillId="37" borderId="0" xfId="84" applyNumberFormat="1" applyFont="1" applyFill="1" applyBorder="1" applyAlignment="1">
      <alignment vertical="center"/>
    </xf>
    <xf numFmtId="166" fontId="0" fillId="0" borderId="0" xfId="1" applyNumberFormat="1" applyFont="1" applyFill="1" applyBorder="1"/>
    <xf numFmtId="166" fontId="0" fillId="0" borderId="0" xfId="0" applyNumberFormat="1"/>
    <xf numFmtId="10" fontId="0" fillId="37" borderId="0" xfId="84" applyNumberFormat="1" applyFont="1" applyFill="1" applyBorder="1"/>
    <xf numFmtId="166" fontId="0" fillId="37" borderId="0" xfId="0" applyNumberFormat="1" applyFill="1" applyBorder="1" applyAlignment="1">
      <alignment vertical="center" wrapText="1"/>
    </xf>
    <xf numFmtId="166" fontId="0" fillId="0" borderId="0" xfId="1" applyNumberFormat="1" applyFont="1"/>
    <xf numFmtId="166" fontId="49" fillId="0" borderId="0" xfId="0" applyNumberFormat="1" applyFont="1" applyFill="1"/>
    <xf numFmtId="0" fontId="48" fillId="0" borderId="0" xfId="0" applyFont="1"/>
    <xf numFmtId="166" fontId="16" fillId="39" borderId="0" xfId="1" applyNumberFormat="1" applyFont="1" applyFill="1" applyBorder="1" applyAlignment="1">
      <alignment vertical="center"/>
    </xf>
    <xf numFmtId="0" fontId="0" fillId="39" borderId="37" xfId="0" applyFill="1" applyBorder="1" applyAlignment="1">
      <alignment horizontal="left" wrapText="1"/>
    </xf>
    <xf numFmtId="0" fontId="0" fillId="39" borderId="0" xfId="0" applyFill="1" applyBorder="1" applyAlignment="1">
      <alignment horizontal="left" wrapText="1"/>
    </xf>
    <xf numFmtId="0" fontId="0" fillId="39" borderId="38" xfId="0" applyFill="1" applyBorder="1" applyAlignment="1">
      <alignment horizontal="left" wrapText="1"/>
    </xf>
    <xf numFmtId="3" fontId="0" fillId="0" borderId="0" xfId="0" applyNumberFormat="1" applyFill="1" applyBorder="1"/>
    <xf numFmtId="166" fontId="0" fillId="0" borderId="0" xfId="0" applyNumberFormat="1" applyFill="1" applyBorder="1"/>
    <xf numFmtId="166" fontId="0" fillId="44" borderId="0" xfId="0" applyNumberFormat="1" applyFont="1" applyFill="1"/>
    <xf numFmtId="0" fontId="0" fillId="39" borderId="39" xfId="0" applyFill="1" applyBorder="1" applyAlignment="1">
      <alignment vertical="top" wrapText="1"/>
    </xf>
    <xf numFmtId="0" fontId="0" fillId="39" borderId="33" xfId="0" applyFill="1" applyBorder="1" applyAlignment="1">
      <alignment vertical="top" wrapText="1"/>
    </xf>
    <xf numFmtId="0" fontId="0" fillId="39" borderId="40" xfId="0" applyFill="1" applyBorder="1" applyAlignment="1">
      <alignment vertical="top" wrapText="1"/>
    </xf>
    <xf numFmtId="169" fontId="19" fillId="33" borderId="0" xfId="0" applyNumberFormat="1" applyFont="1" applyFill="1" applyAlignment="1">
      <alignment wrapText="1"/>
    </xf>
    <xf numFmtId="49" fontId="19" fillId="36" borderId="11" xfId="0" applyNumberFormat="1" applyFont="1" applyFill="1" applyBorder="1" applyAlignment="1">
      <alignment horizontal="left" vertical="center" wrapText="1"/>
    </xf>
    <xf numFmtId="49" fontId="19" fillId="36" borderId="17" xfId="0" applyNumberFormat="1" applyFont="1" applyFill="1" applyBorder="1" applyAlignment="1">
      <alignment horizontal="left" vertical="center" wrapText="1"/>
    </xf>
    <xf numFmtId="49" fontId="19" fillId="36" borderId="12" xfId="0" applyNumberFormat="1" applyFont="1" applyFill="1" applyBorder="1" applyAlignment="1">
      <alignment horizontal="left" vertical="center" wrapText="1"/>
    </xf>
    <xf numFmtId="169" fontId="18" fillId="33" borderId="0" xfId="0" applyNumberFormat="1" applyFont="1" applyFill="1" applyAlignment="1">
      <alignment wrapText="1"/>
    </xf>
    <xf numFmtId="49" fontId="0" fillId="34" borderId="13" xfId="0" applyNumberFormat="1" applyFill="1" applyBorder="1" applyAlignment="1">
      <alignment horizontal="left" vertical="center" wrapText="1"/>
    </xf>
    <xf numFmtId="49" fontId="0" fillId="34" borderId="18" xfId="0" applyNumberFormat="1" applyFill="1" applyBorder="1" applyAlignment="1">
      <alignment horizontal="left" vertical="center" wrapText="1"/>
    </xf>
    <xf numFmtId="49" fontId="0" fillId="34" borderId="14" xfId="0" applyNumberFormat="1" applyFill="1" applyBorder="1" applyAlignment="1">
      <alignment horizontal="left" vertical="center" wrapText="1"/>
    </xf>
    <xf numFmtId="49" fontId="0" fillId="34" borderId="15" xfId="0" applyNumberFormat="1" applyFill="1" applyBorder="1" applyAlignment="1">
      <alignment horizontal="left" vertical="center" wrapText="1"/>
    </xf>
    <xf numFmtId="49" fontId="0" fillId="34" borderId="19" xfId="0" applyNumberFormat="1" applyFill="1" applyBorder="1" applyAlignment="1">
      <alignment horizontal="left" vertical="center" wrapText="1"/>
    </xf>
    <xf numFmtId="49" fontId="0" fillId="34" borderId="16" xfId="0" applyNumberFormat="1" applyFill="1" applyBorder="1" applyAlignment="1">
      <alignment horizontal="left" vertical="center" wrapText="1"/>
    </xf>
    <xf numFmtId="49" fontId="19" fillId="34" borderId="11" xfId="0" applyNumberFormat="1" applyFont="1" applyFill="1" applyBorder="1" applyAlignment="1">
      <alignment horizontal="left" vertical="center" wrapText="1"/>
    </xf>
    <xf numFmtId="49" fontId="19" fillId="34" borderId="12" xfId="0" applyNumberFormat="1" applyFont="1" applyFill="1" applyBorder="1" applyAlignment="1">
      <alignment horizontal="left" vertical="center" wrapText="1"/>
    </xf>
    <xf numFmtId="0" fontId="0" fillId="39" borderId="28" xfId="0" applyFill="1" applyBorder="1" applyAlignment="1">
      <alignment horizontal="center" vertical="center" wrapText="1"/>
    </xf>
    <xf numFmtId="0" fontId="0" fillId="39" borderId="0" xfId="0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3" fontId="16" fillId="39" borderId="22" xfId="0" applyNumberFormat="1" applyFont="1" applyFill="1" applyBorder="1" applyAlignment="1">
      <alignment horizontal="center"/>
    </xf>
    <xf numFmtId="0" fontId="0" fillId="39" borderId="34" xfId="0" applyFill="1" applyBorder="1" applyAlignment="1">
      <alignment horizontal="left" wrapText="1"/>
    </xf>
    <xf numFmtId="0" fontId="0" fillId="39" borderId="35" xfId="0" applyFill="1" applyBorder="1" applyAlignment="1">
      <alignment horizontal="left" wrapText="1"/>
    </xf>
    <xf numFmtId="0" fontId="0" fillId="39" borderId="36" xfId="0" applyFill="1" applyBorder="1" applyAlignment="1">
      <alignment horizontal="left" wrapText="1"/>
    </xf>
    <xf numFmtId="0" fontId="0" fillId="39" borderId="37" xfId="0" applyFill="1" applyBorder="1" applyAlignment="1">
      <alignment horizontal="left" wrapText="1"/>
    </xf>
    <xf numFmtId="0" fontId="0" fillId="39" borderId="0" xfId="0" applyFill="1" applyBorder="1" applyAlignment="1">
      <alignment horizontal="left" wrapText="1"/>
    </xf>
    <xf numFmtId="0" fontId="0" fillId="39" borderId="38" xfId="0" applyFill="1" applyBorder="1" applyAlignment="1">
      <alignment horizontal="left" wrapText="1"/>
    </xf>
    <xf numFmtId="0" fontId="0" fillId="39" borderId="37" xfId="0" applyFill="1" applyBorder="1" applyAlignment="1">
      <alignment horizontal="left" vertical="top" wrapText="1"/>
    </xf>
    <xf numFmtId="0" fontId="0" fillId="39" borderId="0" xfId="0" applyFill="1" applyBorder="1" applyAlignment="1">
      <alignment horizontal="left" vertical="top" wrapText="1"/>
    </xf>
    <xf numFmtId="0" fontId="0" fillId="39" borderId="38" xfId="0" applyFill="1" applyBorder="1" applyAlignment="1">
      <alignment horizontal="left" vertical="top" wrapText="1"/>
    </xf>
    <xf numFmtId="16" fontId="0" fillId="39" borderId="28" xfId="0" applyNumberFormat="1" applyFill="1" applyBorder="1" applyAlignment="1">
      <alignment horizontal="left"/>
    </xf>
    <xf numFmtId="16" fontId="0" fillId="39" borderId="0" xfId="0" applyNumberFormat="1" applyFill="1" applyBorder="1" applyAlignment="1">
      <alignment horizontal="left"/>
    </xf>
    <xf numFmtId="16" fontId="0" fillId="39" borderId="29" xfId="0" applyNumberFormat="1" applyFill="1" applyBorder="1" applyAlignment="1">
      <alignment horizontal="left"/>
    </xf>
    <xf numFmtId="9" fontId="0" fillId="39" borderId="28" xfId="84" applyFont="1" applyFill="1" applyBorder="1" applyAlignment="1">
      <alignment horizontal="left" vertical="center"/>
    </xf>
    <xf numFmtId="9" fontId="0" fillId="39" borderId="0" xfId="84" applyFont="1" applyFill="1" applyBorder="1" applyAlignment="1">
      <alignment horizontal="left" vertical="center"/>
    </xf>
    <xf numFmtId="9" fontId="0" fillId="39" borderId="29" xfId="84" applyFont="1" applyFill="1" applyBorder="1" applyAlignment="1">
      <alignment horizontal="left" vertical="center"/>
    </xf>
    <xf numFmtId="0" fontId="0" fillId="39" borderId="28" xfId="0" applyFill="1" applyBorder="1" applyAlignment="1">
      <alignment horizontal="left" vertical="center"/>
    </xf>
    <xf numFmtId="0" fontId="0" fillId="39" borderId="0" xfId="0" applyFill="1" applyBorder="1" applyAlignment="1">
      <alignment horizontal="left" vertical="center"/>
    </xf>
    <xf numFmtId="0" fontId="0" fillId="39" borderId="29" xfId="0" applyFill="1" applyBorder="1" applyAlignment="1">
      <alignment horizontal="left" vertical="center"/>
    </xf>
    <xf numFmtId="0" fontId="0" fillId="39" borderId="28" xfId="0" applyFill="1" applyBorder="1" applyAlignment="1">
      <alignment horizontal="left" vertical="top"/>
    </xf>
    <xf numFmtId="0" fontId="0" fillId="39" borderId="0" xfId="0" applyFill="1" applyBorder="1" applyAlignment="1">
      <alignment horizontal="left" vertical="top"/>
    </xf>
    <xf numFmtId="0" fontId="0" fillId="39" borderId="29" xfId="0" applyFill="1" applyBorder="1" applyAlignment="1">
      <alignment horizontal="left" vertical="top"/>
    </xf>
  </cellXfs>
  <cellStyles count="85">
    <cellStyle name="20 % - Farve1" xfId="20" builtinId="30" customBuiltin="1"/>
    <cellStyle name="20 % - Farve1 2" xfId="61" xr:uid="{00000000-0005-0000-0000-000001000000}"/>
    <cellStyle name="20 % - Farve2" xfId="24" builtinId="34" customBuiltin="1"/>
    <cellStyle name="20 % - Farve2 2" xfId="65" xr:uid="{00000000-0005-0000-0000-000003000000}"/>
    <cellStyle name="20 % - Farve3" xfId="28" builtinId="38" customBuiltin="1"/>
    <cellStyle name="20 % - Farve3 2" xfId="69" xr:uid="{00000000-0005-0000-0000-000005000000}"/>
    <cellStyle name="20 % - Farve4" xfId="32" builtinId="42" customBuiltin="1"/>
    <cellStyle name="20 % - Farve4 2" xfId="73" xr:uid="{00000000-0005-0000-0000-000007000000}"/>
    <cellStyle name="20 % - Farve5" xfId="36" builtinId="46" customBuiltin="1"/>
    <cellStyle name="20 % - Farve5 2" xfId="77" xr:uid="{00000000-0005-0000-0000-000009000000}"/>
    <cellStyle name="20 % - Farve6" xfId="40" builtinId="50" customBuiltin="1"/>
    <cellStyle name="20 % - Farve6 2" xfId="81" xr:uid="{00000000-0005-0000-0000-00000B000000}"/>
    <cellStyle name="40 % - Farve1" xfId="21" builtinId="31" customBuiltin="1"/>
    <cellStyle name="40 % - Farve1 2" xfId="62" xr:uid="{00000000-0005-0000-0000-00000D000000}"/>
    <cellStyle name="40 % - Farve2" xfId="25" builtinId="35" customBuiltin="1"/>
    <cellStyle name="40 % - Farve2 2" xfId="66" xr:uid="{00000000-0005-0000-0000-00000F000000}"/>
    <cellStyle name="40 % - Farve3" xfId="29" builtinId="39" customBuiltin="1"/>
    <cellStyle name="40 % - Farve3 2" xfId="70" xr:uid="{00000000-0005-0000-0000-000011000000}"/>
    <cellStyle name="40 % - Farve4" xfId="33" builtinId="43" customBuiltin="1"/>
    <cellStyle name="40 % - Farve4 2" xfId="74" xr:uid="{00000000-0005-0000-0000-000013000000}"/>
    <cellStyle name="40 % - Farve5" xfId="37" builtinId="47" customBuiltin="1"/>
    <cellStyle name="40 % - Farve5 2" xfId="78" xr:uid="{00000000-0005-0000-0000-000015000000}"/>
    <cellStyle name="40 % - Farve6" xfId="41" builtinId="51" customBuiltin="1"/>
    <cellStyle name="40 % - Farve6 2" xfId="82" xr:uid="{00000000-0005-0000-0000-000017000000}"/>
    <cellStyle name="60 % - Farve1" xfId="22" builtinId="32" customBuiltin="1"/>
    <cellStyle name="60 % - Farve1 2" xfId="63" xr:uid="{00000000-0005-0000-0000-000019000000}"/>
    <cellStyle name="60 % - Farve2" xfId="26" builtinId="36" customBuiltin="1"/>
    <cellStyle name="60 % - Farve2 2" xfId="67" xr:uid="{00000000-0005-0000-0000-00001B000000}"/>
    <cellStyle name="60 % - Farve3" xfId="30" builtinId="40" customBuiltin="1"/>
    <cellStyle name="60 % - Farve3 2" xfId="71" xr:uid="{00000000-0005-0000-0000-00001D000000}"/>
    <cellStyle name="60 % - Farve4" xfId="34" builtinId="44" customBuiltin="1"/>
    <cellStyle name="60 % - Farve4 2" xfId="75" xr:uid="{00000000-0005-0000-0000-00001F000000}"/>
    <cellStyle name="60 % - Farve5" xfId="38" builtinId="48" customBuiltin="1"/>
    <cellStyle name="60 % - Farve5 2" xfId="79" xr:uid="{00000000-0005-0000-0000-000021000000}"/>
    <cellStyle name="60 % - Farve6" xfId="42" builtinId="52" customBuiltin="1"/>
    <cellStyle name="60 % - Farve6 2" xfId="83" xr:uid="{00000000-0005-0000-0000-000023000000}"/>
    <cellStyle name="Advarselstekst" xfId="15" builtinId="11" customBuiltin="1"/>
    <cellStyle name="Advarselstekst 2" xfId="56" xr:uid="{00000000-0005-0000-0000-000025000000}"/>
    <cellStyle name="Bemærk!" xfId="16" builtinId="10" customBuiltin="1"/>
    <cellStyle name="Bemærk! 2" xfId="57" xr:uid="{00000000-0005-0000-0000-000027000000}"/>
    <cellStyle name="Beregning" xfId="12" builtinId="22" customBuiltin="1"/>
    <cellStyle name="Beregning 2" xfId="53" xr:uid="{00000000-0005-0000-0000-000029000000}"/>
    <cellStyle name="Farve1" xfId="19" builtinId="29" customBuiltin="1"/>
    <cellStyle name="Farve1 2" xfId="60" xr:uid="{00000000-0005-0000-0000-00002B000000}"/>
    <cellStyle name="Farve2" xfId="23" builtinId="33" customBuiltin="1"/>
    <cellStyle name="Farve2 2" xfId="64" xr:uid="{00000000-0005-0000-0000-00002D000000}"/>
    <cellStyle name="Farve3" xfId="27" builtinId="37" customBuiltin="1"/>
    <cellStyle name="Farve3 2" xfId="68" xr:uid="{00000000-0005-0000-0000-00002F000000}"/>
    <cellStyle name="Farve4" xfId="31" builtinId="41" customBuiltin="1"/>
    <cellStyle name="Farve4 2" xfId="72" xr:uid="{00000000-0005-0000-0000-000031000000}"/>
    <cellStyle name="Farve5" xfId="35" builtinId="45" customBuiltin="1"/>
    <cellStyle name="Farve5 2" xfId="76" xr:uid="{00000000-0005-0000-0000-000033000000}"/>
    <cellStyle name="Farve6" xfId="39" builtinId="49" customBuiltin="1"/>
    <cellStyle name="Farve6 2" xfId="80" xr:uid="{00000000-0005-0000-0000-000035000000}"/>
    <cellStyle name="Forklarende tekst" xfId="17" builtinId="53" customBuiltin="1"/>
    <cellStyle name="Forklarende tekst 2" xfId="58" xr:uid="{00000000-0005-0000-0000-000037000000}"/>
    <cellStyle name="God" xfId="7" builtinId="26" customBuiltin="1"/>
    <cellStyle name="God 2" xfId="48" xr:uid="{00000000-0005-0000-0000-000039000000}"/>
    <cellStyle name="Input" xfId="10" builtinId="20" customBuiltin="1"/>
    <cellStyle name="Input 2" xfId="51" xr:uid="{00000000-0005-0000-0000-00003B000000}"/>
    <cellStyle name="Komma" xfId="1" builtinId="3"/>
    <cellStyle name="Kontrollér celle" xfId="14" builtinId="23" customBuiltin="1"/>
    <cellStyle name="Kontrollér celle 2" xfId="55" xr:uid="{00000000-0005-0000-0000-00003E000000}"/>
    <cellStyle name="Neutral" xfId="9" builtinId="28" customBuiltin="1"/>
    <cellStyle name="Neutral 2" xfId="50" xr:uid="{00000000-0005-0000-0000-000040000000}"/>
    <cellStyle name="Normal" xfId="0" builtinId="0"/>
    <cellStyle name="Normal 2" xfId="43" xr:uid="{00000000-0005-0000-0000-000042000000}"/>
    <cellStyle name="Output" xfId="11" builtinId="21" customBuiltin="1"/>
    <cellStyle name="Output 2" xfId="52" xr:uid="{00000000-0005-0000-0000-000044000000}"/>
    <cellStyle name="Overskrift 1" xfId="3" builtinId="16" customBuiltin="1"/>
    <cellStyle name="Overskrift 1 2" xfId="44" xr:uid="{00000000-0005-0000-0000-000046000000}"/>
    <cellStyle name="Overskrift 2" xfId="4" builtinId="17" customBuiltin="1"/>
    <cellStyle name="Overskrift 2 2" xfId="45" xr:uid="{00000000-0005-0000-0000-000048000000}"/>
    <cellStyle name="Overskrift 3" xfId="5" builtinId="18" customBuiltin="1"/>
    <cellStyle name="Overskrift 3 2" xfId="46" xr:uid="{00000000-0005-0000-0000-00004A000000}"/>
    <cellStyle name="Overskrift 4" xfId="6" builtinId="19" customBuiltin="1"/>
    <cellStyle name="Overskrift 4 2" xfId="47" xr:uid="{00000000-0005-0000-0000-00004C000000}"/>
    <cellStyle name="Procent" xfId="84" builtinId="5"/>
    <cellStyle name="Sammenkædet celle" xfId="13" builtinId="24" customBuiltin="1"/>
    <cellStyle name="Sammenkædet celle 2" xfId="54" xr:uid="{00000000-0005-0000-0000-00004F000000}"/>
    <cellStyle name="Titel" xfId="2" builtinId="15" customBuiltin="1"/>
    <cellStyle name="Total" xfId="18" builtinId="25" customBuiltin="1"/>
    <cellStyle name="Total 2" xfId="59" xr:uid="{00000000-0005-0000-0000-000052000000}"/>
    <cellStyle name="Ugyldig" xfId="8" builtinId="27" customBuiltin="1"/>
    <cellStyle name="Ugyldig 2" xfId="49" xr:uid="{00000000-0005-0000-0000-000054000000}"/>
  </cellStyles>
  <dxfs count="0"/>
  <tableStyles count="0" defaultTableStyle="TableStyleMedium2" defaultPivotStyle="PivotStyleLight16"/>
  <colors>
    <mruColors>
      <color rgb="FFFF99FF"/>
      <color rgb="FFFFCC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7"/>
  <sheetViews>
    <sheetView showGridLines="0" topLeftCell="A91" zoomScale="110" zoomScaleNormal="110" workbookViewId="0">
      <selection activeCell="A108" sqref="A108"/>
    </sheetView>
  </sheetViews>
  <sheetFormatPr defaultRowHeight="19.5" customHeight="1"/>
  <cols>
    <col min="1" max="1" width="26.375" bestFit="1" customWidth="1"/>
    <col min="2" max="2" width="11" customWidth="1"/>
    <col min="3" max="3" width="27.375" bestFit="1" customWidth="1"/>
    <col min="4" max="4" width="9.375" customWidth="1"/>
    <col min="5" max="5" width="15.125" bestFit="1" customWidth="1"/>
    <col min="6" max="6" width="8.875" customWidth="1"/>
    <col min="7" max="8" width="9.75" customWidth="1"/>
    <col min="9" max="9" width="4.5" customWidth="1"/>
  </cols>
  <sheetData>
    <row r="1" spans="1:2" ht="15.75">
      <c r="A1" s="1" t="s">
        <v>104</v>
      </c>
    </row>
    <row r="2" spans="1:2" ht="12.75">
      <c r="A2" s="55"/>
    </row>
    <row r="3" spans="1:2" ht="12.75">
      <c r="A3" s="213" t="s">
        <v>0</v>
      </c>
      <c r="B3" s="2" t="s">
        <v>332</v>
      </c>
    </row>
    <row r="4" spans="1:2" ht="22.5">
      <c r="A4" s="213" t="s">
        <v>1</v>
      </c>
      <c r="B4" s="2" t="s">
        <v>100</v>
      </c>
    </row>
    <row r="5" spans="1:2" ht="12.75">
      <c r="A5" s="55"/>
    </row>
    <row r="6" spans="1:2" ht="15.75" customHeight="1">
      <c r="A6" s="217" t="s">
        <v>2</v>
      </c>
      <c r="B6" s="217"/>
    </row>
    <row r="7" spans="1:2" ht="12.75">
      <c r="A7" s="213" t="s">
        <v>105</v>
      </c>
      <c r="B7" s="213" t="s">
        <v>333</v>
      </c>
    </row>
    <row r="8" spans="1:2" ht="22.5">
      <c r="A8" s="213" t="s">
        <v>3</v>
      </c>
      <c r="B8" s="2" t="s">
        <v>4</v>
      </c>
    </row>
    <row r="9" spans="1:2" ht="22.5">
      <c r="A9" s="213" t="s">
        <v>72</v>
      </c>
      <c r="B9" s="2" t="s">
        <v>73</v>
      </c>
    </row>
    <row r="10" spans="1:2" ht="22.5">
      <c r="A10" s="213" t="s">
        <v>5</v>
      </c>
      <c r="B10" s="2" t="s">
        <v>6</v>
      </c>
    </row>
    <row r="11" spans="1:2" ht="22.5">
      <c r="A11" s="213" t="s">
        <v>50</v>
      </c>
      <c r="B11" s="2" t="s">
        <v>51</v>
      </c>
    </row>
    <row r="12" spans="1:2" ht="22.5">
      <c r="A12" s="213" t="s">
        <v>74</v>
      </c>
      <c r="B12" s="2" t="s">
        <v>75</v>
      </c>
    </row>
    <row r="13" spans="1:2" ht="56.25">
      <c r="A13" s="213" t="s">
        <v>7</v>
      </c>
      <c r="B13" s="213" t="s">
        <v>224</v>
      </c>
    </row>
    <row r="14" spans="1:2" ht="12.75">
      <c r="A14" s="213" t="s">
        <v>8</v>
      </c>
      <c r="B14" s="2" t="s">
        <v>9</v>
      </c>
    </row>
    <row r="15" spans="1:2" ht="12.75">
      <c r="A15" s="213" t="s">
        <v>10</v>
      </c>
      <c r="B15" s="213" t="s">
        <v>10</v>
      </c>
    </row>
    <row r="16" spans="1:2" ht="15.75" customHeight="1">
      <c r="A16" s="217" t="s">
        <v>11</v>
      </c>
      <c r="B16" s="217"/>
    </row>
    <row r="17" spans="1:2" ht="393.75">
      <c r="A17" s="213" t="s">
        <v>22</v>
      </c>
      <c r="B17" s="213" t="s">
        <v>106</v>
      </c>
    </row>
    <row r="18" spans="1:2" ht="45">
      <c r="A18" s="213" t="s">
        <v>76</v>
      </c>
      <c r="B18" s="2" t="s">
        <v>77</v>
      </c>
    </row>
    <row r="19" spans="1:2" ht="12.75">
      <c r="A19" s="213" t="s">
        <v>12</v>
      </c>
      <c r="B19" s="2" t="s">
        <v>13</v>
      </c>
    </row>
    <row r="20" spans="1:2" ht="12.75">
      <c r="A20" s="213" t="s">
        <v>10</v>
      </c>
      <c r="B20" s="213" t="s">
        <v>10</v>
      </c>
    </row>
    <row r="21" spans="1:2" ht="15.75" customHeight="1">
      <c r="A21" s="217" t="s">
        <v>14</v>
      </c>
      <c r="B21" s="217"/>
    </row>
    <row r="22" spans="1:2" ht="33.75">
      <c r="A22" s="213" t="s">
        <v>52</v>
      </c>
      <c r="B22" s="2" t="s">
        <v>15</v>
      </c>
    </row>
    <row r="23" spans="1:2" ht="12.75">
      <c r="A23" s="213" t="s">
        <v>78</v>
      </c>
      <c r="B23" s="2" t="s">
        <v>273</v>
      </c>
    </row>
    <row r="24" spans="1:2" ht="12.75">
      <c r="A24" s="213" t="s">
        <v>79</v>
      </c>
      <c r="B24" s="2" t="s">
        <v>83</v>
      </c>
    </row>
    <row r="25" spans="1:2" ht="12.75">
      <c r="A25" s="213" t="s">
        <v>80</v>
      </c>
      <c r="B25" s="2" t="s">
        <v>334</v>
      </c>
    </row>
    <row r="26" spans="1:2" ht="12.75">
      <c r="A26" s="213" t="s">
        <v>82</v>
      </c>
      <c r="B26" s="2" t="s">
        <v>83</v>
      </c>
    </row>
    <row r="27" spans="1:2" ht="12.75">
      <c r="A27" s="213" t="s">
        <v>84</v>
      </c>
      <c r="B27" s="2" t="s">
        <v>81</v>
      </c>
    </row>
    <row r="28" spans="1:2" ht="12.75">
      <c r="A28" s="213" t="s">
        <v>54</v>
      </c>
      <c r="B28" s="2"/>
    </row>
    <row r="29" spans="1:2" ht="12.75">
      <c r="A29" s="213" t="s">
        <v>85</v>
      </c>
      <c r="B29" s="2"/>
    </row>
    <row r="30" spans="1:2" ht="12.75">
      <c r="A30" s="213" t="s">
        <v>86</v>
      </c>
      <c r="B30" s="2"/>
    </row>
    <row r="31" spans="1:2" ht="12.75">
      <c r="A31" s="213" t="s">
        <v>107</v>
      </c>
      <c r="B31" s="2" t="s">
        <v>335</v>
      </c>
    </row>
    <row r="32" spans="1:2" ht="12.75">
      <c r="A32" s="213" t="s">
        <v>16</v>
      </c>
      <c r="B32" s="2" t="s">
        <v>17</v>
      </c>
    </row>
    <row r="33" spans="1:9" ht="12.75">
      <c r="A33" s="213" t="s">
        <v>108</v>
      </c>
      <c r="B33" s="2" t="s">
        <v>109</v>
      </c>
    </row>
    <row r="34" spans="1:9" ht="33.75">
      <c r="A34" s="213" t="s">
        <v>54</v>
      </c>
      <c r="B34" s="2" t="s">
        <v>87</v>
      </c>
    </row>
    <row r="35" spans="1:9" ht="56.25">
      <c r="A35" s="213" t="s">
        <v>88</v>
      </c>
      <c r="B35" s="213" t="s">
        <v>225</v>
      </c>
    </row>
    <row r="36" spans="1:9" ht="12.75">
      <c r="A36" s="213" t="s">
        <v>18</v>
      </c>
      <c r="B36" s="2" t="s">
        <v>9</v>
      </c>
    </row>
    <row r="37" spans="1:9" ht="56.25">
      <c r="A37" s="213" t="s">
        <v>89</v>
      </c>
      <c r="B37" s="2" t="s">
        <v>236</v>
      </c>
    </row>
    <row r="38" spans="1:9" ht="45">
      <c r="A38" s="213" t="s">
        <v>19</v>
      </c>
      <c r="B38" s="2" t="s">
        <v>20</v>
      </c>
    </row>
    <row r="39" spans="1:9" ht="13.5" thickBot="1">
      <c r="A39" s="55"/>
    </row>
    <row r="40" spans="1:9" ht="57" thickBot="1">
      <c r="A40" s="218"/>
      <c r="B40" s="219"/>
      <c r="C40" s="219"/>
      <c r="D40" s="220"/>
      <c r="E40" s="3"/>
      <c r="F40" s="4" t="s">
        <v>110</v>
      </c>
      <c r="G40" s="4" t="s">
        <v>90</v>
      </c>
      <c r="H40" s="4" t="s">
        <v>91</v>
      </c>
      <c r="I40" s="4" t="s">
        <v>92</v>
      </c>
    </row>
    <row r="41" spans="1:9" ht="34.5" thickBot="1">
      <c r="A41" s="221"/>
      <c r="B41" s="222"/>
      <c r="C41" s="222"/>
      <c r="D41" s="223"/>
      <c r="E41" s="3"/>
      <c r="F41" s="5" t="s">
        <v>13</v>
      </c>
      <c r="G41" s="5" t="s">
        <v>13</v>
      </c>
      <c r="H41" s="5" t="s">
        <v>13</v>
      </c>
      <c r="I41" s="5" t="s">
        <v>13</v>
      </c>
    </row>
    <row r="42" spans="1:9" ht="23.25" thickBot="1">
      <c r="A42" s="5" t="s">
        <v>3</v>
      </c>
      <c r="B42" s="224" t="s">
        <v>76</v>
      </c>
      <c r="C42" s="225"/>
      <c r="D42" s="5" t="s">
        <v>53</v>
      </c>
      <c r="E42" s="9"/>
      <c r="F42" s="3" t="s">
        <v>23</v>
      </c>
      <c r="G42" s="3" t="s">
        <v>23</v>
      </c>
      <c r="H42" s="3" t="s">
        <v>23</v>
      </c>
      <c r="I42" s="3" t="s">
        <v>93</v>
      </c>
    </row>
    <row r="43" spans="1:9" ht="13.5" thickBot="1">
      <c r="A43" s="5" t="s">
        <v>115</v>
      </c>
      <c r="B43" s="5" t="s">
        <v>57</v>
      </c>
      <c r="C43" s="5" t="s">
        <v>116</v>
      </c>
      <c r="D43" s="60">
        <v>1100006800</v>
      </c>
      <c r="E43" s="5" t="s">
        <v>59</v>
      </c>
      <c r="F43" s="7">
        <v>17146572</v>
      </c>
      <c r="G43" s="7">
        <v>13389072.26</v>
      </c>
      <c r="H43" s="7">
        <v>3757499.74</v>
      </c>
      <c r="I43" s="56">
        <v>78.086000280405898</v>
      </c>
    </row>
    <row r="44" spans="1:9" ht="13.5" thickBot="1">
      <c r="A44" s="5" t="s">
        <v>115</v>
      </c>
      <c r="B44" s="5" t="s">
        <v>57</v>
      </c>
      <c r="C44" s="5" t="s">
        <v>116</v>
      </c>
      <c r="D44" s="60">
        <v>1100006801</v>
      </c>
      <c r="E44" s="5" t="s">
        <v>60</v>
      </c>
      <c r="F44" s="57"/>
      <c r="G44" s="7">
        <v>537607.35</v>
      </c>
      <c r="H44" s="7">
        <v>-537607.35</v>
      </c>
      <c r="I44" s="56">
        <v>0</v>
      </c>
    </row>
    <row r="45" spans="1:9" ht="13.5" thickBot="1">
      <c r="A45" s="5" t="s">
        <v>115</v>
      </c>
      <c r="B45" s="5" t="s">
        <v>57</v>
      </c>
      <c r="C45" s="5" t="s">
        <v>116</v>
      </c>
      <c r="D45" s="60">
        <v>1100006805</v>
      </c>
      <c r="E45" s="5" t="s">
        <v>61</v>
      </c>
      <c r="F45" s="7">
        <v>-40000</v>
      </c>
      <c r="G45" s="57"/>
      <c r="H45" s="7">
        <v>-40000</v>
      </c>
      <c r="I45" s="57"/>
    </row>
    <row r="46" spans="1:9" ht="13.5" thickBot="1">
      <c r="A46" s="5" t="s">
        <v>115</v>
      </c>
      <c r="B46" s="5" t="s">
        <v>57</v>
      </c>
      <c r="C46" s="5" t="s">
        <v>116</v>
      </c>
      <c r="D46" s="60">
        <v>1100006812</v>
      </c>
      <c r="E46" s="5" t="s">
        <v>243</v>
      </c>
      <c r="F46" s="57"/>
      <c r="G46" s="7">
        <v>13173.21</v>
      </c>
      <c r="H46" s="7">
        <v>-13173.21</v>
      </c>
      <c r="I46" s="56">
        <v>0</v>
      </c>
    </row>
    <row r="47" spans="1:9" ht="13.5" thickBot="1">
      <c r="A47" s="5" t="s">
        <v>115</v>
      </c>
      <c r="B47" s="5" t="s">
        <v>57</v>
      </c>
      <c r="C47" s="5" t="s">
        <v>116</v>
      </c>
      <c r="D47" s="60">
        <v>1100006890</v>
      </c>
      <c r="E47" s="5" t="s">
        <v>295</v>
      </c>
      <c r="F47" s="57"/>
      <c r="G47" s="7">
        <v>471.46</v>
      </c>
      <c r="H47" s="7">
        <v>-471.46</v>
      </c>
      <c r="I47" s="56">
        <v>0</v>
      </c>
    </row>
    <row r="48" spans="1:9" ht="13.5" thickBot="1">
      <c r="A48" s="5" t="s">
        <v>115</v>
      </c>
      <c r="B48" s="5" t="s">
        <v>57</v>
      </c>
      <c r="C48" s="5" t="s">
        <v>116</v>
      </c>
      <c r="D48" s="60">
        <v>1100006891</v>
      </c>
      <c r="E48" s="5" t="s">
        <v>111</v>
      </c>
      <c r="F48" s="7">
        <v>0</v>
      </c>
      <c r="G48" s="57"/>
      <c r="H48" s="7">
        <v>0</v>
      </c>
      <c r="I48" s="57"/>
    </row>
    <row r="49" spans="1:9" ht="13.5" thickBot="1">
      <c r="A49" s="5" t="s">
        <v>115</v>
      </c>
      <c r="B49" s="5" t="s">
        <v>57</v>
      </c>
      <c r="C49" s="5" t="s">
        <v>116</v>
      </c>
      <c r="D49" s="60">
        <v>1100006892</v>
      </c>
      <c r="E49" s="5" t="s">
        <v>244</v>
      </c>
      <c r="F49" s="57"/>
      <c r="G49" s="7">
        <v>595470.72</v>
      </c>
      <c r="H49" s="7">
        <v>-595470.72</v>
      </c>
      <c r="I49" s="56">
        <v>0</v>
      </c>
    </row>
    <row r="50" spans="1:9" ht="13.5" thickBot="1">
      <c r="A50" s="5" t="s">
        <v>115</v>
      </c>
      <c r="B50" s="5" t="s">
        <v>213</v>
      </c>
      <c r="C50" s="5" t="s">
        <v>214</v>
      </c>
      <c r="D50" s="5" t="s">
        <v>57</v>
      </c>
      <c r="E50" s="5" t="s">
        <v>114</v>
      </c>
      <c r="F50" s="7">
        <v>-1119584</v>
      </c>
      <c r="G50" s="57"/>
      <c r="H50" s="7">
        <v>-1119584</v>
      </c>
      <c r="I50" s="57"/>
    </row>
    <row r="51" spans="1:9" ht="13.5" thickBot="1">
      <c r="A51" s="5" t="s">
        <v>115</v>
      </c>
      <c r="B51" s="5" t="s">
        <v>296</v>
      </c>
      <c r="C51" s="5" t="s">
        <v>227</v>
      </c>
      <c r="D51" s="5" t="s">
        <v>57</v>
      </c>
      <c r="E51" s="5" t="s">
        <v>114</v>
      </c>
      <c r="F51" s="7">
        <v>2446677</v>
      </c>
      <c r="G51" s="7">
        <v>-179865.27</v>
      </c>
      <c r="H51" s="7">
        <v>2626542.27</v>
      </c>
      <c r="I51" s="56">
        <v>-7.3514105049420095</v>
      </c>
    </row>
    <row r="52" spans="1:9" ht="13.5" thickBot="1">
      <c r="A52" s="5" t="s">
        <v>115</v>
      </c>
      <c r="B52" s="5" t="s">
        <v>117</v>
      </c>
      <c r="C52" s="5" t="s">
        <v>71</v>
      </c>
      <c r="D52" s="5" t="s">
        <v>57</v>
      </c>
      <c r="E52" s="5" t="s">
        <v>114</v>
      </c>
      <c r="F52" s="7">
        <v>-178850</v>
      </c>
      <c r="G52" s="57"/>
      <c r="H52" s="7">
        <v>-178850</v>
      </c>
      <c r="I52" s="57"/>
    </row>
    <row r="53" spans="1:9" ht="13.5" thickBot="1">
      <c r="A53" s="5" t="s">
        <v>115</v>
      </c>
      <c r="B53" s="5" t="s">
        <v>118</v>
      </c>
      <c r="C53" s="5" t="s">
        <v>119</v>
      </c>
      <c r="D53" s="5" t="s">
        <v>57</v>
      </c>
      <c r="E53" s="5" t="s">
        <v>114</v>
      </c>
      <c r="F53" s="7">
        <v>243740</v>
      </c>
      <c r="G53" s="57"/>
      <c r="H53" s="7">
        <v>243740</v>
      </c>
      <c r="I53" s="57"/>
    </row>
    <row r="54" spans="1:9" ht="13.5" thickBot="1">
      <c r="A54" s="5" t="s">
        <v>115</v>
      </c>
      <c r="B54" s="5" t="s">
        <v>120</v>
      </c>
      <c r="C54" s="5" t="s">
        <v>121</v>
      </c>
      <c r="D54" s="5" t="s">
        <v>57</v>
      </c>
      <c r="E54" s="5" t="s">
        <v>114</v>
      </c>
      <c r="F54" s="7">
        <v>-32230</v>
      </c>
      <c r="G54" s="7">
        <v>186478.84</v>
      </c>
      <c r="H54" s="7">
        <v>-218708.84</v>
      </c>
      <c r="I54" s="56">
        <v>578.58777536456716</v>
      </c>
    </row>
    <row r="55" spans="1:9" ht="13.5" thickBot="1">
      <c r="A55" s="5" t="s">
        <v>115</v>
      </c>
      <c r="B55" s="5" t="s">
        <v>122</v>
      </c>
      <c r="C55" s="5" t="s">
        <v>123</v>
      </c>
      <c r="D55" s="5" t="s">
        <v>57</v>
      </c>
      <c r="E55" s="5" t="s">
        <v>114</v>
      </c>
      <c r="F55" s="7">
        <v>55330</v>
      </c>
      <c r="G55" s="7">
        <v>689084.15</v>
      </c>
      <c r="H55" s="7">
        <v>-633754.15</v>
      </c>
      <c r="I55" s="56">
        <v>1245.4078257726369</v>
      </c>
    </row>
    <row r="56" spans="1:9" ht="13.5" thickBot="1">
      <c r="A56" s="5" t="s">
        <v>115</v>
      </c>
      <c r="B56" s="5" t="s">
        <v>124</v>
      </c>
      <c r="C56" s="5" t="s">
        <v>125</v>
      </c>
      <c r="D56" s="5" t="s">
        <v>57</v>
      </c>
      <c r="E56" s="5" t="s">
        <v>114</v>
      </c>
      <c r="F56" s="7">
        <v>-6720</v>
      </c>
      <c r="G56" s="7">
        <v>82040.63</v>
      </c>
      <c r="H56" s="7">
        <v>-88760.63</v>
      </c>
      <c r="I56" s="56">
        <v>1220.8427083333333</v>
      </c>
    </row>
    <row r="57" spans="1:9" ht="13.5" thickBot="1">
      <c r="A57" s="5" t="s">
        <v>115</v>
      </c>
      <c r="B57" s="5" t="s">
        <v>126</v>
      </c>
      <c r="C57" s="5" t="s">
        <v>127</v>
      </c>
      <c r="D57" s="5" t="s">
        <v>57</v>
      </c>
      <c r="E57" s="5" t="s">
        <v>114</v>
      </c>
      <c r="F57" s="57"/>
      <c r="G57" s="7">
        <v>100622.54</v>
      </c>
      <c r="H57" s="7">
        <v>-100622.54</v>
      </c>
      <c r="I57" s="56">
        <v>0</v>
      </c>
    </row>
    <row r="58" spans="1:9" ht="13.5" thickBot="1">
      <c r="A58" s="5" t="s">
        <v>115</v>
      </c>
      <c r="B58" s="5" t="s">
        <v>128</v>
      </c>
      <c r="C58" s="5" t="s">
        <v>129</v>
      </c>
      <c r="D58" s="5" t="s">
        <v>57</v>
      </c>
      <c r="E58" s="5" t="s">
        <v>114</v>
      </c>
      <c r="F58" s="57"/>
      <c r="G58" s="7">
        <v>215412.13</v>
      </c>
      <c r="H58" s="7">
        <v>-215412.13</v>
      </c>
      <c r="I58" s="56">
        <v>0</v>
      </c>
    </row>
    <row r="59" spans="1:9" ht="13.5" thickBot="1">
      <c r="A59" s="5" t="s">
        <v>115</v>
      </c>
      <c r="B59" s="5" t="s">
        <v>130</v>
      </c>
      <c r="C59" s="5" t="s">
        <v>131</v>
      </c>
      <c r="D59" s="5" t="s">
        <v>57</v>
      </c>
      <c r="E59" s="5" t="s">
        <v>114</v>
      </c>
      <c r="F59" s="7">
        <v>1825948</v>
      </c>
      <c r="G59" s="7">
        <v>1220476.05</v>
      </c>
      <c r="H59" s="7">
        <v>605471.94999999995</v>
      </c>
      <c r="I59" s="56">
        <v>66.840679471704561</v>
      </c>
    </row>
    <row r="60" spans="1:9" ht="13.5" thickBot="1">
      <c r="A60" s="5" t="s">
        <v>115</v>
      </c>
      <c r="B60" s="5" t="s">
        <v>323</v>
      </c>
      <c r="C60" s="5" t="s">
        <v>324</v>
      </c>
      <c r="D60" s="5" t="s">
        <v>57</v>
      </c>
      <c r="E60" s="5" t="s">
        <v>114</v>
      </c>
      <c r="F60" s="57"/>
      <c r="G60" s="7">
        <v>1500</v>
      </c>
      <c r="H60" s="7">
        <v>-1500</v>
      </c>
      <c r="I60" s="56">
        <v>0</v>
      </c>
    </row>
    <row r="61" spans="1:9" ht="13.5" thickBot="1">
      <c r="A61" s="5" t="s">
        <v>115</v>
      </c>
      <c r="B61" s="214" t="s">
        <v>58</v>
      </c>
      <c r="C61" s="215"/>
      <c r="D61" s="215"/>
      <c r="E61" s="216"/>
      <c r="F61" s="6">
        <v>20340883</v>
      </c>
      <c r="G61" s="6">
        <v>16851544.07</v>
      </c>
      <c r="H61" s="6">
        <v>3489338.93</v>
      </c>
      <c r="I61" s="58">
        <v>82.845686050109038</v>
      </c>
    </row>
    <row r="62" spans="1:9" ht="13.5" thickBot="1">
      <c r="A62" s="5" t="s">
        <v>132</v>
      </c>
      <c r="B62" s="5" t="s">
        <v>57</v>
      </c>
      <c r="C62" s="5" t="s">
        <v>116</v>
      </c>
      <c r="D62" s="60">
        <v>1100006903</v>
      </c>
      <c r="E62" s="5" t="s">
        <v>62</v>
      </c>
      <c r="F62" s="57"/>
      <c r="G62" s="7">
        <v>2195628.38</v>
      </c>
      <c r="H62" s="7">
        <v>-2195628.38</v>
      </c>
      <c r="I62" s="56">
        <v>0</v>
      </c>
    </row>
    <row r="63" spans="1:9" ht="13.5" thickBot="1">
      <c r="A63" s="5" t="s">
        <v>132</v>
      </c>
      <c r="B63" s="5" t="s">
        <v>133</v>
      </c>
      <c r="C63" s="5" t="s">
        <v>134</v>
      </c>
      <c r="D63" s="5" t="s">
        <v>57</v>
      </c>
      <c r="E63" s="5" t="s">
        <v>114</v>
      </c>
      <c r="F63" s="57"/>
      <c r="G63" s="7">
        <v>108249.1</v>
      </c>
      <c r="H63" s="7">
        <v>-108249.1</v>
      </c>
      <c r="I63" s="56">
        <v>0</v>
      </c>
    </row>
    <row r="64" spans="1:9" ht="13.5" thickBot="1">
      <c r="A64" s="5" t="s">
        <v>132</v>
      </c>
      <c r="B64" s="214" t="s">
        <v>58</v>
      </c>
      <c r="C64" s="215"/>
      <c r="D64" s="215"/>
      <c r="E64" s="216"/>
      <c r="F64" s="59"/>
      <c r="G64" s="6">
        <v>2303877.48</v>
      </c>
      <c r="H64" s="6">
        <v>-2303877.48</v>
      </c>
      <c r="I64" s="58">
        <v>0</v>
      </c>
    </row>
    <row r="65" spans="1:9" ht="13.5" thickBot="1">
      <c r="A65" s="5" t="s">
        <v>135</v>
      </c>
      <c r="B65" s="5" t="s">
        <v>57</v>
      </c>
      <c r="C65" s="5" t="s">
        <v>116</v>
      </c>
      <c r="D65" s="60">
        <v>1100007000</v>
      </c>
      <c r="E65" s="5" t="s">
        <v>63</v>
      </c>
      <c r="F65" s="7">
        <v>5682146</v>
      </c>
      <c r="G65" s="7">
        <v>6678581.0999999996</v>
      </c>
      <c r="H65" s="7">
        <v>-996435.1</v>
      </c>
      <c r="I65" s="56">
        <v>117.53624598875143</v>
      </c>
    </row>
    <row r="66" spans="1:9" ht="13.5" thickBot="1">
      <c r="A66" s="5" t="s">
        <v>135</v>
      </c>
      <c r="B66" s="5" t="s">
        <v>57</v>
      </c>
      <c r="C66" s="5" t="s">
        <v>116</v>
      </c>
      <c r="D66" s="60">
        <v>1100007001</v>
      </c>
      <c r="E66" s="5" t="s">
        <v>63</v>
      </c>
      <c r="F66" s="57"/>
      <c r="G66" s="7">
        <v>166734.78</v>
      </c>
      <c r="H66" s="7">
        <v>-166734.78</v>
      </c>
      <c r="I66" s="56">
        <v>0</v>
      </c>
    </row>
    <row r="67" spans="1:9" ht="13.5" thickBot="1">
      <c r="A67" s="5" t="s">
        <v>135</v>
      </c>
      <c r="B67" s="5" t="s">
        <v>57</v>
      </c>
      <c r="C67" s="5" t="s">
        <v>116</v>
      </c>
      <c r="D67" s="60">
        <v>1100007003</v>
      </c>
      <c r="E67" s="5" t="s">
        <v>112</v>
      </c>
      <c r="F67" s="57"/>
      <c r="G67" s="7">
        <v>633638.18000000005</v>
      </c>
      <c r="H67" s="7">
        <v>-633638.18000000005</v>
      </c>
      <c r="I67" s="56">
        <v>0</v>
      </c>
    </row>
    <row r="68" spans="1:9" ht="13.5" thickBot="1">
      <c r="A68" s="5" t="s">
        <v>135</v>
      </c>
      <c r="B68" s="5" t="s">
        <v>136</v>
      </c>
      <c r="C68" s="5" t="s">
        <v>26</v>
      </c>
      <c r="D68" s="5" t="s">
        <v>57</v>
      </c>
      <c r="E68" s="5" t="s">
        <v>114</v>
      </c>
      <c r="F68" s="57"/>
      <c r="G68" s="7">
        <v>1831213.03</v>
      </c>
      <c r="H68" s="7">
        <v>-1831213.03</v>
      </c>
      <c r="I68" s="56">
        <v>0</v>
      </c>
    </row>
    <row r="69" spans="1:9" ht="13.5" thickBot="1">
      <c r="A69" s="5" t="s">
        <v>135</v>
      </c>
      <c r="B69" s="5" t="s">
        <v>314</v>
      </c>
      <c r="C69" s="5" t="s">
        <v>315</v>
      </c>
      <c r="D69" s="5" t="s">
        <v>57</v>
      </c>
      <c r="E69" s="5" t="s">
        <v>114</v>
      </c>
      <c r="F69" s="57"/>
      <c r="G69" s="7">
        <v>58629.11</v>
      </c>
      <c r="H69" s="7">
        <v>-58629.11</v>
      </c>
      <c r="I69" s="56">
        <v>0</v>
      </c>
    </row>
    <row r="70" spans="1:9" ht="13.5" thickBot="1">
      <c r="A70" s="5" t="s">
        <v>135</v>
      </c>
      <c r="B70" s="5" t="s">
        <v>297</v>
      </c>
      <c r="C70" s="5" t="s">
        <v>298</v>
      </c>
      <c r="D70" s="5" t="s">
        <v>57</v>
      </c>
      <c r="E70" s="5" t="s">
        <v>114</v>
      </c>
      <c r="F70" s="57"/>
      <c r="G70" s="7">
        <v>32664.06</v>
      </c>
      <c r="H70" s="7">
        <v>-32664.06</v>
      </c>
      <c r="I70" s="56">
        <v>0</v>
      </c>
    </row>
    <row r="71" spans="1:9" ht="13.5" thickBot="1">
      <c r="A71" s="5" t="s">
        <v>135</v>
      </c>
      <c r="B71" s="214" t="s">
        <v>58</v>
      </c>
      <c r="C71" s="215"/>
      <c r="D71" s="215"/>
      <c r="E71" s="216"/>
      <c r="F71" s="6">
        <v>5682146</v>
      </c>
      <c r="G71" s="6">
        <v>9401460.2599999998</v>
      </c>
      <c r="H71" s="6">
        <v>-3719314.26</v>
      </c>
      <c r="I71" s="58">
        <v>165.45615441771471</v>
      </c>
    </row>
    <row r="72" spans="1:9" ht="13.5" thickBot="1">
      <c r="A72" s="5" t="s">
        <v>137</v>
      </c>
      <c r="B72" s="5" t="s">
        <v>138</v>
      </c>
      <c r="C72" s="5" t="s">
        <v>139</v>
      </c>
      <c r="D72" s="5" t="s">
        <v>57</v>
      </c>
      <c r="E72" s="5" t="s">
        <v>114</v>
      </c>
      <c r="F72" s="57"/>
      <c r="G72" s="7">
        <v>657354.9</v>
      </c>
      <c r="H72" s="7">
        <v>-657354.9</v>
      </c>
      <c r="I72" s="56">
        <v>0</v>
      </c>
    </row>
    <row r="73" spans="1:9" ht="13.5" thickBot="1">
      <c r="A73" s="5" t="s">
        <v>137</v>
      </c>
      <c r="B73" s="214" t="s">
        <v>58</v>
      </c>
      <c r="C73" s="215"/>
      <c r="D73" s="215"/>
      <c r="E73" s="216"/>
      <c r="F73" s="59"/>
      <c r="G73" s="6">
        <v>657354.9</v>
      </c>
      <c r="H73" s="6">
        <v>-657354.9</v>
      </c>
      <c r="I73" s="58">
        <v>0</v>
      </c>
    </row>
    <row r="74" spans="1:9" ht="13.5" thickBot="1">
      <c r="A74" s="5" t="s">
        <v>200</v>
      </c>
      <c r="B74" s="5" t="s">
        <v>201</v>
      </c>
      <c r="C74" s="5" t="s">
        <v>202</v>
      </c>
      <c r="D74" s="5" t="s">
        <v>57</v>
      </c>
      <c r="E74" s="5" t="s">
        <v>114</v>
      </c>
      <c r="F74" s="57"/>
      <c r="G74" s="7">
        <v>141040.94</v>
      </c>
      <c r="H74" s="7">
        <v>-141040.94</v>
      </c>
      <c r="I74" s="56">
        <v>0</v>
      </c>
    </row>
    <row r="75" spans="1:9" ht="13.5" thickBot="1">
      <c r="A75" s="5" t="s">
        <v>200</v>
      </c>
      <c r="B75" s="214" t="s">
        <v>58</v>
      </c>
      <c r="C75" s="215"/>
      <c r="D75" s="215"/>
      <c r="E75" s="216"/>
      <c r="F75" s="59"/>
      <c r="G75" s="6">
        <v>141040.94</v>
      </c>
      <c r="H75" s="6">
        <v>-141040.94</v>
      </c>
      <c r="I75" s="58">
        <v>0</v>
      </c>
    </row>
    <row r="76" spans="1:9" ht="13.5" thickBot="1">
      <c r="A76" s="5" t="s">
        <v>140</v>
      </c>
      <c r="B76" s="5" t="s">
        <v>141</v>
      </c>
      <c r="C76" s="5" t="s">
        <v>142</v>
      </c>
      <c r="D76" s="5" t="s">
        <v>57</v>
      </c>
      <c r="E76" s="5" t="s">
        <v>114</v>
      </c>
      <c r="F76" s="57"/>
      <c r="G76" s="7">
        <v>901213.73</v>
      </c>
      <c r="H76" s="7">
        <v>-901213.73</v>
      </c>
      <c r="I76" s="56">
        <v>0</v>
      </c>
    </row>
    <row r="77" spans="1:9" ht="13.5" thickBot="1">
      <c r="A77" s="5" t="s">
        <v>140</v>
      </c>
      <c r="B77" s="5" t="s">
        <v>143</v>
      </c>
      <c r="C77" s="5" t="s">
        <v>27</v>
      </c>
      <c r="D77" s="5" t="s">
        <v>57</v>
      </c>
      <c r="E77" s="5" t="s">
        <v>114</v>
      </c>
      <c r="F77" s="7">
        <v>361359</v>
      </c>
      <c r="G77" s="7">
        <v>847667.23</v>
      </c>
      <c r="H77" s="7">
        <v>-486308.23</v>
      </c>
      <c r="I77" s="56">
        <v>234.57758904579657</v>
      </c>
    </row>
    <row r="78" spans="1:9" ht="13.5" thickBot="1">
      <c r="A78" s="5" t="s">
        <v>140</v>
      </c>
      <c r="B78" s="214" t="s">
        <v>58</v>
      </c>
      <c r="C78" s="215"/>
      <c r="D78" s="215"/>
      <c r="E78" s="216"/>
      <c r="F78" s="6">
        <v>361359</v>
      </c>
      <c r="G78" s="6">
        <v>1748880.96</v>
      </c>
      <c r="H78" s="6">
        <v>-1387521.96</v>
      </c>
      <c r="I78" s="58">
        <v>483.97326758154634</v>
      </c>
    </row>
    <row r="79" spans="1:9" ht="13.5" thickBot="1">
      <c r="A79" s="5" t="s">
        <v>28</v>
      </c>
      <c r="B79" s="5" t="s">
        <v>57</v>
      </c>
      <c r="C79" s="5" t="s">
        <v>116</v>
      </c>
      <c r="D79" s="60">
        <v>1100007400</v>
      </c>
      <c r="E79" s="5" t="s">
        <v>28</v>
      </c>
      <c r="F79" s="7">
        <v>3447193</v>
      </c>
      <c r="G79" s="7">
        <v>3463951.41</v>
      </c>
      <c r="H79" s="7">
        <v>-16758.41</v>
      </c>
      <c r="I79" s="56">
        <v>100.48614655460254</v>
      </c>
    </row>
    <row r="80" spans="1:9" ht="13.5" thickBot="1">
      <c r="A80" s="5" t="s">
        <v>28</v>
      </c>
      <c r="B80" s="5" t="s">
        <v>57</v>
      </c>
      <c r="C80" s="5" t="s">
        <v>116</v>
      </c>
      <c r="D80" s="60">
        <v>1100007401</v>
      </c>
      <c r="E80" s="5" t="s">
        <v>28</v>
      </c>
      <c r="F80" s="57"/>
      <c r="G80" s="7">
        <v>216655.09</v>
      </c>
      <c r="H80" s="7">
        <v>-216655.09</v>
      </c>
      <c r="I80" s="56">
        <v>0</v>
      </c>
    </row>
    <row r="81" spans="1:9" ht="13.5" thickBot="1">
      <c r="A81" s="5" t="s">
        <v>28</v>
      </c>
      <c r="B81" s="5" t="s">
        <v>274</v>
      </c>
      <c r="C81" s="5" t="s">
        <v>227</v>
      </c>
      <c r="D81" s="5" t="s">
        <v>57</v>
      </c>
      <c r="E81" s="5" t="s">
        <v>114</v>
      </c>
      <c r="F81" s="57"/>
      <c r="G81" s="7">
        <v>0</v>
      </c>
      <c r="H81" s="7">
        <v>0</v>
      </c>
      <c r="I81" s="56">
        <v>0</v>
      </c>
    </row>
    <row r="82" spans="1:9" ht="13.5" thickBot="1">
      <c r="A82" s="5" t="s">
        <v>28</v>
      </c>
      <c r="B82" s="5" t="s">
        <v>228</v>
      </c>
      <c r="C82" s="5" t="s">
        <v>121</v>
      </c>
      <c r="D82" s="5" t="s">
        <v>57</v>
      </c>
      <c r="E82" s="5" t="s">
        <v>114</v>
      </c>
      <c r="F82" s="57"/>
      <c r="G82" s="7">
        <v>14136.12</v>
      </c>
      <c r="H82" s="7">
        <v>-14136.12</v>
      </c>
      <c r="I82" s="56">
        <v>0</v>
      </c>
    </row>
    <row r="83" spans="1:9" ht="13.5" thickBot="1">
      <c r="A83" s="5" t="s">
        <v>28</v>
      </c>
      <c r="B83" s="5" t="s">
        <v>305</v>
      </c>
      <c r="C83" s="5" t="s">
        <v>125</v>
      </c>
      <c r="D83" s="5" t="s">
        <v>57</v>
      </c>
      <c r="E83" s="5" t="s">
        <v>114</v>
      </c>
      <c r="F83" s="57"/>
      <c r="G83" s="7">
        <v>2075.31</v>
      </c>
      <c r="H83" s="7">
        <v>-2075.31</v>
      </c>
      <c r="I83" s="56">
        <v>0</v>
      </c>
    </row>
    <row r="84" spans="1:9" ht="13.5" thickBot="1">
      <c r="A84" s="5" t="s">
        <v>28</v>
      </c>
      <c r="B84" s="5" t="s">
        <v>144</v>
      </c>
      <c r="C84" s="5" t="s">
        <v>145</v>
      </c>
      <c r="D84" s="5" t="s">
        <v>57</v>
      </c>
      <c r="E84" s="5" t="s">
        <v>114</v>
      </c>
      <c r="F84" s="57"/>
      <c r="G84" s="7">
        <v>94412.09</v>
      </c>
      <c r="H84" s="7">
        <v>-94412.09</v>
      </c>
      <c r="I84" s="56">
        <v>0</v>
      </c>
    </row>
    <row r="85" spans="1:9" ht="13.5" thickBot="1">
      <c r="A85" s="5" t="s">
        <v>28</v>
      </c>
      <c r="B85" s="5" t="s">
        <v>146</v>
      </c>
      <c r="C85" s="5" t="s">
        <v>147</v>
      </c>
      <c r="D85" s="5" t="s">
        <v>57</v>
      </c>
      <c r="E85" s="5" t="s">
        <v>114</v>
      </c>
      <c r="F85" s="7">
        <v>548306</v>
      </c>
      <c r="G85" s="7">
        <v>415818.9</v>
      </c>
      <c r="H85" s="7">
        <v>132487.1</v>
      </c>
      <c r="I85" s="56">
        <v>75.837014367889466</v>
      </c>
    </row>
    <row r="86" spans="1:9" ht="13.5" thickBot="1">
      <c r="A86" s="5" t="s">
        <v>28</v>
      </c>
      <c r="B86" s="5" t="s">
        <v>246</v>
      </c>
      <c r="C86" s="5" t="s">
        <v>247</v>
      </c>
      <c r="D86" s="5" t="s">
        <v>57</v>
      </c>
      <c r="E86" s="5" t="s">
        <v>114</v>
      </c>
      <c r="F86" s="57"/>
      <c r="G86" s="7">
        <v>-105700</v>
      </c>
      <c r="H86" s="7">
        <v>105700</v>
      </c>
      <c r="I86" s="56">
        <v>0</v>
      </c>
    </row>
    <row r="87" spans="1:9" ht="13.5" thickBot="1">
      <c r="A87" s="5" t="s">
        <v>28</v>
      </c>
      <c r="B87" s="5" t="s">
        <v>306</v>
      </c>
      <c r="C87" s="5" t="s">
        <v>127</v>
      </c>
      <c r="D87" s="5" t="s">
        <v>57</v>
      </c>
      <c r="E87" s="5" t="s">
        <v>114</v>
      </c>
      <c r="F87" s="57"/>
      <c r="G87" s="7">
        <v>8612.67</v>
      </c>
      <c r="H87" s="7">
        <v>-8612.67</v>
      </c>
      <c r="I87" s="56">
        <v>0</v>
      </c>
    </row>
    <row r="88" spans="1:9" ht="13.5" thickBot="1">
      <c r="A88" s="5" t="s">
        <v>28</v>
      </c>
      <c r="B88" s="5" t="s">
        <v>231</v>
      </c>
      <c r="C88" s="5" t="s">
        <v>129</v>
      </c>
      <c r="D88" s="5" t="s">
        <v>57</v>
      </c>
      <c r="E88" s="5" t="s">
        <v>114</v>
      </c>
      <c r="F88" s="57"/>
      <c r="G88" s="7">
        <v>51350.1</v>
      </c>
      <c r="H88" s="7">
        <v>-51350.1</v>
      </c>
      <c r="I88" s="56">
        <v>0</v>
      </c>
    </row>
    <row r="89" spans="1:9" ht="13.5" thickBot="1">
      <c r="A89" s="5" t="s">
        <v>28</v>
      </c>
      <c r="B89" s="5" t="s">
        <v>203</v>
      </c>
      <c r="C89" s="5" t="s">
        <v>204</v>
      </c>
      <c r="D89" s="5" t="s">
        <v>57</v>
      </c>
      <c r="E89" s="5" t="s">
        <v>114</v>
      </c>
      <c r="F89" s="57"/>
      <c r="G89" s="7">
        <v>45578.77</v>
      </c>
      <c r="H89" s="7">
        <v>-45578.77</v>
      </c>
      <c r="I89" s="56">
        <v>0</v>
      </c>
    </row>
    <row r="90" spans="1:9" ht="13.5" thickBot="1">
      <c r="A90" s="5" t="s">
        <v>28</v>
      </c>
      <c r="B90" s="214" t="s">
        <v>58</v>
      </c>
      <c r="C90" s="215"/>
      <c r="D90" s="215"/>
      <c r="E90" s="216"/>
      <c r="F90" s="6">
        <v>3995499</v>
      </c>
      <c r="G90" s="6">
        <v>4206890.46</v>
      </c>
      <c r="H90" s="6">
        <v>-211391.46</v>
      </c>
      <c r="I90" s="58">
        <v>105.29073990507818</v>
      </c>
    </row>
    <row r="91" spans="1:9" ht="13.5" thickBot="1">
      <c r="A91" s="5" t="s">
        <v>148</v>
      </c>
      <c r="B91" s="5" t="s">
        <v>57</v>
      </c>
      <c r="C91" s="5" t="s">
        <v>116</v>
      </c>
      <c r="D91" s="60">
        <v>1100007500</v>
      </c>
      <c r="E91" s="5" t="s">
        <v>28</v>
      </c>
      <c r="F91" s="57"/>
      <c r="G91" s="7">
        <v>683435.2</v>
      </c>
      <c r="H91" s="7">
        <v>-683435.2</v>
      </c>
      <c r="I91" s="56">
        <v>0</v>
      </c>
    </row>
    <row r="92" spans="1:9" ht="13.5" thickBot="1">
      <c r="A92" s="5" t="s">
        <v>148</v>
      </c>
      <c r="B92" s="5" t="s">
        <v>215</v>
      </c>
      <c r="C92" s="5" t="s">
        <v>134</v>
      </c>
      <c r="D92" s="5" t="s">
        <v>57</v>
      </c>
      <c r="E92" s="5" t="s">
        <v>114</v>
      </c>
      <c r="F92" s="57"/>
      <c r="G92" s="7">
        <v>24351.88</v>
      </c>
      <c r="H92" s="7">
        <v>-24351.88</v>
      </c>
      <c r="I92" s="56">
        <v>0</v>
      </c>
    </row>
    <row r="93" spans="1:9" ht="13.5" thickBot="1">
      <c r="A93" s="5" t="s">
        <v>148</v>
      </c>
      <c r="B93" s="214" t="s">
        <v>58</v>
      </c>
      <c r="C93" s="215"/>
      <c r="D93" s="215"/>
      <c r="E93" s="216"/>
      <c r="F93" s="59"/>
      <c r="G93" s="6">
        <v>707787.08</v>
      </c>
      <c r="H93" s="6">
        <v>-707787.08</v>
      </c>
      <c r="I93" s="58">
        <v>0</v>
      </c>
    </row>
    <row r="94" spans="1:9" ht="13.5" thickBot="1">
      <c r="A94" s="5" t="s">
        <v>149</v>
      </c>
      <c r="B94" s="5" t="s">
        <v>150</v>
      </c>
      <c r="C94" s="5" t="s">
        <v>29</v>
      </c>
      <c r="D94" s="5" t="s">
        <v>57</v>
      </c>
      <c r="E94" s="5" t="s">
        <v>114</v>
      </c>
      <c r="F94" s="7">
        <v>-2487383</v>
      </c>
      <c r="G94" s="7">
        <v>-3386245.09</v>
      </c>
      <c r="H94" s="7">
        <v>898862.09</v>
      </c>
      <c r="I94" s="56">
        <v>-136.13685910050845</v>
      </c>
    </row>
    <row r="95" spans="1:9" ht="13.5" thickBot="1">
      <c r="A95" s="5" t="s">
        <v>149</v>
      </c>
      <c r="B95" s="214" t="s">
        <v>58</v>
      </c>
      <c r="C95" s="215"/>
      <c r="D95" s="215"/>
      <c r="E95" s="216"/>
      <c r="F95" s="6">
        <v>-2487383</v>
      </c>
      <c r="G95" s="6">
        <v>-3386245.09</v>
      </c>
      <c r="H95" s="6">
        <v>898862.09</v>
      </c>
      <c r="I95" s="58">
        <v>-136.13685910050845</v>
      </c>
    </row>
    <row r="96" spans="1:9" ht="13.5" thickBot="1">
      <c r="A96" s="5" t="s">
        <v>229</v>
      </c>
      <c r="B96" s="5" t="s">
        <v>275</v>
      </c>
      <c r="C96" s="5" t="s">
        <v>121</v>
      </c>
      <c r="D96" s="5" t="s">
        <v>57</v>
      </c>
      <c r="E96" s="5" t="s">
        <v>114</v>
      </c>
      <c r="F96" s="57"/>
      <c r="G96" s="7">
        <v>0</v>
      </c>
      <c r="H96" s="7">
        <v>0</v>
      </c>
      <c r="I96" s="56">
        <v>0</v>
      </c>
    </row>
    <row r="97" spans="1:9" ht="13.5" thickBot="1">
      <c r="A97" s="5" t="s">
        <v>229</v>
      </c>
      <c r="B97" s="214" t="s">
        <v>58</v>
      </c>
      <c r="C97" s="215"/>
      <c r="D97" s="215"/>
      <c r="E97" s="216"/>
      <c r="F97" s="59"/>
      <c r="G97" s="6">
        <v>0</v>
      </c>
      <c r="H97" s="6">
        <v>0</v>
      </c>
      <c r="I97" s="58">
        <v>0</v>
      </c>
    </row>
    <row r="98" spans="1:9" ht="13.5" thickBot="1">
      <c r="A98" s="5" t="s">
        <v>151</v>
      </c>
      <c r="B98" s="5" t="s">
        <v>57</v>
      </c>
      <c r="C98" s="5" t="s">
        <v>116</v>
      </c>
      <c r="D98" s="60">
        <v>1100014100</v>
      </c>
      <c r="E98" s="5" t="s">
        <v>113</v>
      </c>
      <c r="F98" s="7">
        <v>729627</v>
      </c>
      <c r="G98" s="7">
        <v>731349.41</v>
      </c>
      <c r="H98" s="7">
        <v>-1722.41</v>
      </c>
      <c r="I98" s="56">
        <v>100.23606719597822</v>
      </c>
    </row>
    <row r="99" spans="1:9" ht="13.5" thickBot="1">
      <c r="A99" s="5" t="s">
        <v>151</v>
      </c>
      <c r="B99" s="5" t="s">
        <v>152</v>
      </c>
      <c r="C99" s="5" t="s">
        <v>121</v>
      </c>
      <c r="D99" s="5" t="s">
        <v>57</v>
      </c>
      <c r="E99" s="5" t="s">
        <v>114</v>
      </c>
      <c r="F99" s="7">
        <v>22250</v>
      </c>
      <c r="G99" s="57"/>
      <c r="H99" s="7">
        <v>22250</v>
      </c>
      <c r="I99" s="57"/>
    </row>
    <row r="100" spans="1:9" ht="13.5" thickBot="1">
      <c r="A100" s="5" t="s">
        <v>151</v>
      </c>
      <c r="B100" s="214" t="s">
        <v>58</v>
      </c>
      <c r="C100" s="215"/>
      <c r="D100" s="215"/>
      <c r="E100" s="216"/>
      <c r="F100" s="6">
        <v>751877</v>
      </c>
      <c r="G100" s="6">
        <v>731349.41</v>
      </c>
      <c r="H100" s="6">
        <v>20527.59</v>
      </c>
      <c r="I100" s="58">
        <v>97.269820728656413</v>
      </c>
    </row>
    <row r="101" spans="1:9" ht="13.5" thickBot="1">
      <c r="A101" s="5" t="s">
        <v>96</v>
      </c>
      <c r="B101" s="5" t="s">
        <v>57</v>
      </c>
      <c r="C101" s="5" t="s">
        <v>116</v>
      </c>
      <c r="D101" s="60">
        <v>1100014200</v>
      </c>
      <c r="E101" s="5" t="s">
        <v>96</v>
      </c>
      <c r="F101" s="7">
        <v>38560</v>
      </c>
      <c r="G101" s="7">
        <v>45733.06</v>
      </c>
      <c r="H101" s="7">
        <v>-7173.06</v>
      </c>
      <c r="I101" s="56">
        <v>118.60233402489627</v>
      </c>
    </row>
    <row r="102" spans="1:9" ht="13.5" thickBot="1">
      <c r="A102" s="5" t="s">
        <v>96</v>
      </c>
      <c r="B102" s="5" t="s">
        <v>153</v>
      </c>
      <c r="C102" s="5" t="s">
        <v>121</v>
      </c>
      <c r="D102" s="5" t="s">
        <v>57</v>
      </c>
      <c r="E102" s="5" t="s">
        <v>114</v>
      </c>
      <c r="F102" s="7">
        <v>1190</v>
      </c>
      <c r="G102" s="57"/>
      <c r="H102" s="7">
        <v>1190</v>
      </c>
      <c r="I102" s="57"/>
    </row>
    <row r="103" spans="1:9" ht="13.5" thickBot="1">
      <c r="A103" s="5" t="s">
        <v>96</v>
      </c>
      <c r="B103" s="214" t="s">
        <v>58</v>
      </c>
      <c r="C103" s="215"/>
      <c r="D103" s="215"/>
      <c r="E103" s="216"/>
      <c r="F103" s="6">
        <v>39750</v>
      </c>
      <c r="G103" s="6">
        <v>45733.06</v>
      </c>
      <c r="H103" s="6">
        <v>-5983.06</v>
      </c>
      <c r="I103" s="58">
        <v>115.05172327044025</v>
      </c>
    </row>
    <row r="104" spans="1:9" ht="13.5" thickBot="1">
      <c r="A104" s="5" t="s">
        <v>97</v>
      </c>
      <c r="B104" s="5" t="s">
        <v>57</v>
      </c>
      <c r="C104" s="5" t="s">
        <v>116</v>
      </c>
      <c r="D104" s="60">
        <v>1100014300</v>
      </c>
      <c r="E104" s="5" t="s">
        <v>97</v>
      </c>
      <c r="F104" s="7">
        <v>46890</v>
      </c>
      <c r="G104" s="7">
        <v>55611.41</v>
      </c>
      <c r="H104" s="7">
        <v>-8721.41</v>
      </c>
      <c r="I104" s="56">
        <v>118.59972275538495</v>
      </c>
    </row>
    <row r="105" spans="1:9" ht="13.5" thickBot="1">
      <c r="A105" s="5" t="s">
        <v>97</v>
      </c>
      <c r="B105" s="5" t="s">
        <v>154</v>
      </c>
      <c r="C105" s="5" t="s">
        <v>121</v>
      </c>
      <c r="D105" s="5" t="s">
        <v>57</v>
      </c>
      <c r="E105" s="5" t="s">
        <v>114</v>
      </c>
      <c r="F105" s="7">
        <v>1440</v>
      </c>
      <c r="G105" s="57"/>
      <c r="H105" s="7">
        <v>1440</v>
      </c>
      <c r="I105" s="57"/>
    </row>
    <row r="106" spans="1:9" ht="13.5" thickBot="1">
      <c r="A106" s="5" t="s">
        <v>97</v>
      </c>
      <c r="B106" s="214" t="s">
        <v>58</v>
      </c>
      <c r="C106" s="215"/>
      <c r="D106" s="215"/>
      <c r="E106" s="216"/>
      <c r="F106" s="6">
        <v>48330</v>
      </c>
      <c r="G106" s="6">
        <v>55611.41</v>
      </c>
      <c r="H106" s="6">
        <v>-7281.41</v>
      </c>
      <c r="I106" s="58">
        <v>115.06602524312021</v>
      </c>
    </row>
    <row r="107" spans="1:9" ht="13.5" thickBot="1">
      <c r="A107" s="214" t="s">
        <v>21</v>
      </c>
      <c r="B107" s="215"/>
      <c r="C107" s="215"/>
      <c r="D107" s="215"/>
      <c r="E107" s="216"/>
      <c r="F107" s="6">
        <v>28732461</v>
      </c>
      <c r="G107" s="6">
        <v>33465284.940000001</v>
      </c>
      <c r="H107" s="6">
        <v>-4732823.9400000004</v>
      </c>
      <c r="I107" s="58">
        <v>116.47204511997771</v>
      </c>
    </row>
    <row r="108" spans="1:9" ht="12.75"/>
    <row r="109" spans="1:9" ht="12.75"/>
    <row r="110" spans="1:9" ht="12.75"/>
    <row r="111" spans="1:9" ht="12.75"/>
    <row r="112" spans="1:9" ht="12.75"/>
    <row r="113" customFormat="1" ht="12.75"/>
    <row r="114" customFormat="1" ht="12.75"/>
    <row r="115" customFormat="1" ht="12.75"/>
    <row r="116" customFormat="1" ht="12.75"/>
    <row r="117" customFormat="1" ht="12.75"/>
    <row r="118" customFormat="1" ht="12.75"/>
    <row r="119" customFormat="1" ht="12.75"/>
    <row r="120" customFormat="1" ht="12.75"/>
    <row r="121" customFormat="1" ht="12.75"/>
    <row r="122" customFormat="1" ht="12.75"/>
    <row r="123" customFormat="1" ht="12.75"/>
    <row r="124" customFormat="1" ht="12.75"/>
    <row r="125" customFormat="1" ht="12.75"/>
    <row r="126" customFormat="1" ht="12.75"/>
    <row r="127" customFormat="1" ht="12.75"/>
    <row r="128" customFormat="1" ht="12.75"/>
    <row r="129" customFormat="1" ht="12.75"/>
    <row r="130" customFormat="1" ht="12.75"/>
    <row r="131" customFormat="1" ht="12.75"/>
    <row r="132" customFormat="1" ht="12.75"/>
    <row r="133" customFormat="1" ht="12.75"/>
    <row r="134" customFormat="1" ht="12.75"/>
    <row r="135" customFormat="1" ht="12.75"/>
    <row r="136" customFormat="1" ht="12.75"/>
    <row r="137" customFormat="1" ht="12.75"/>
    <row r="138" customFormat="1" ht="12.75"/>
    <row r="139" customFormat="1" ht="12.75"/>
    <row r="140" customFormat="1" ht="12.75"/>
    <row r="141" customFormat="1" ht="12.75"/>
    <row r="142" customFormat="1" ht="12.75"/>
    <row r="143" customFormat="1" ht="12.75"/>
    <row r="144" customFormat="1" ht="12.75"/>
    <row r="145" customFormat="1" ht="12.75"/>
    <row r="146" customFormat="1" ht="12.75"/>
    <row r="147" customFormat="1" ht="12.75"/>
    <row r="148" customFormat="1" ht="12.75"/>
    <row r="149" customFormat="1" ht="12.75"/>
    <row r="150" customFormat="1" ht="12.75"/>
    <row r="151" customFormat="1" ht="12.75"/>
    <row r="152" customFormat="1" ht="12.75"/>
    <row r="153" customFormat="1" ht="12.75"/>
    <row r="154" customFormat="1" ht="12.75"/>
    <row r="155" customFormat="1" ht="12.75"/>
    <row r="156" customFormat="1" ht="12.75"/>
    <row r="157" customFormat="1" ht="12.75"/>
    <row r="158" customFormat="1" ht="12.75"/>
    <row r="159" customFormat="1" ht="12.75"/>
    <row r="160" customFormat="1" ht="12.75"/>
    <row r="161" customFormat="1" ht="12.75"/>
    <row r="162" customFormat="1" ht="12.75"/>
    <row r="163" customFormat="1" ht="12.75"/>
    <row r="164" customFormat="1" ht="12.75"/>
    <row r="165" customFormat="1" ht="12.75"/>
    <row r="166" customFormat="1" ht="12.75"/>
    <row r="167" customFormat="1" ht="12.75"/>
    <row r="168" customFormat="1" ht="12.75"/>
    <row r="169" customFormat="1" ht="12.75"/>
    <row r="170" customFormat="1" ht="12.75"/>
    <row r="171" customFormat="1" ht="12.75"/>
    <row r="172" customFormat="1" ht="12.75"/>
    <row r="173" customFormat="1" ht="12.75"/>
    <row r="174" customFormat="1" ht="12.75"/>
    <row r="175" customFormat="1" ht="12.75"/>
    <row r="176" customFormat="1" ht="12.75"/>
    <row r="177" customFormat="1" ht="12.75"/>
    <row r="178" customFormat="1" ht="12.75"/>
    <row r="179" customFormat="1" ht="12.75"/>
    <row r="180" customFormat="1" ht="12.75"/>
    <row r="181" customFormat="1" ht="12.75"/>
    <row r="182" customFormat="1" ht="12.75"/>
    <row r="183" customFormat="1" ht="12.75"/>
    <row r="184" customFormat="1" ht="12.75"/>
    <row r="185" customFormat="1" ht="12.75"/>
    <row r="186" customFormat="1" ht="12.75"/>
    <row r="187" customFormat="1" ht="12.75"/>
    <row r="188" customFormat="1" ht="12.75"/>
    <row r="189" customFormat="1" ht="12.75"/>
    <row r="190" customFormat="1" ht="12.75"/>
    <row r="191" customFormat="1" ht="12.75"/>
    <row r="192" customFormat="1" ht="12.75"/>
    <row r="193" customFormat="1" ht="12.75"/>
    <row r="194" customFormat="1" ht="12.75"/>
    <row r="195" customFormat="1" ht="12.75"/>
    <row r="196" customFormat="1" ht="12.75"/>
    <row r="197" customFormat="1" ht="12.75"/>
    <row r="198" customFormat="1" ht="12.75"/>
    <row r="199" customFormat="1" ht="12.75"/>
    <row r="200" customFormat="1" ht="12.75"/>
    <row r="201" customFormat="1" ht="12.75"/>
    <row r="202" customFormat="1" ht="12.75"/>
    <row r="203" customFormat="1" ht="12.75"/>
    <row r="204" customFormat="1" ht="12.75"/>
    <row r="205" customFormat="1" ht="12.75"/>
    <row r="206" customFormat="1" ht="12.75"/>
    <row r="207" customFormat="1" ht="12.75"/>
  </sheetData>
  <mergeCells count="19">
    <mergeCell ref="B61:E61"/>
    <mergeCell ref="A6:B6"/>
    <mergeCell ref="A16:B16"/>
    <mergeCell ref="A21:B21"/>
    <mergeCell ref="A40:D41"/>
    <mergeCell ref="B42:C42"/>
    <mergeCell ref="B100:E100"/>
    <mergeCell ref="B103:E103"/>
    <mergeCell ref="B106:E106"/>
    <mergeCell ref="A107:E107"/>
    <mergeCell ref="B64:E64"/>
    <mergeCell ref="B71:E71"/>
    <mergeCell ref="B73:E73"/>
    <mergeCell ref="B75:E75"/>
    <mergeCell ref="B78:E78"/>
    <mergeCell ref="B90:E90"/>
    <mergeCell ref="B93:E93"/>
    <mergeCell ref="B95:E95"/>
    <mergeCell ref="B97:E97"/>
  </mergeCells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55"/>
  <sheetViews>
    <sheetView zoomScaleNormal="100" workbookViewId="0">
      <selection activeCell="D15" sqref="D15"/>
    </sheetView>
  </sheetViews>
  <sheetFormatPr defaultRowHeight="12.75"/>
  <cols>
    <col min="1" max="1" width="23.625" style="12" customWidth="1"/>
    <col min="2" max="2" width="45.75" style="14" customWidth="1"/>
    <col min="3" max="3" width="13" style="14" customWidth="1"/>
    <col min="4" max="4" width="13.125" style="28" customWidth="1"/>
    <col min="5" max="5" width="17.875" style="11" customWidth="1"/>
    <col min="6" max="10" width="8.625" style="11" customWidth="1"/>
    <col min="11" max="24" width="9" style="11"/>
    <col min="25" max="16384" width="9" style="12"/>
  </cols>
  <sheetData>
    <row r="1" spans="1:12" s="14" customFormat="1" ht="18">
      <c r="B1" s="15" t="s">
        <v>4</v>
      </c>
      <c r="C1" s="15"/>
      <c r="D1" s="28"/>
    </row>
    <row r="2" spans="1:12" s="14" customFormat="1" ht="18">
      <c r="B2" s="15"/>
      <c r="C2" s="15"/>
      <c r="D2" s="28"/>
    </row>
    <row r="3" spans="1:12" s="14" customFormat="1" ht="12.75" customHeight="1">
      <c r="C3" s="228" t="s">
        <v>191</v>
      </c>
      <c r="D3" s="42">
        <v>44957</v>
      </c>
    </row>
    <row r="4" spans="1:12" s="14" customFormat="1">
      <c r="B4" s="16" t="s">
        <v>30</v>
      </c>
      <c r="C4" s="228"/>
      <c r="D4" s="31" t="s">
        <v>45</v>
      </c>
    </row>
    <row r="5" spans="1:12" s="14" customFormat="1">
      <c r="D5" s="28"/>
      <c r="E5" s="17"/>
      <c r="F5" s="229" t="s">
        <v>241</v>
      </c>
      <c r="G5" s="229"/>
      <c r="H5" s="229"/>
      <c r="I5" s="229"/>
      <c r="J5" s="229"/>
      <c r="K5" s="229"/>
      <c r="L5" s="229"/>
    </row>
    <row r="6" spans="1:12" s="14" customFormat="1">
      <c r="A6" s="30">
        <v>1100006800</v>
      </c>
      <c r="B6" s="14" t="s">
        <v>66</v>
      </c>
      <c r="D6" s="28">
        <f>IFERROR(VLOOKUP(A6,'RI - data'!D$43:G$186,4,FALSE),0)</f>
        <v>13389072.26</v>
      </c>
      <c r="E6" s="17"/>
      <c r="F6" s="67" t="s">
        <v>308</v>
      </c>
      <c r="G6" s="68" t="s">
        <v>309</v>
      </c>
      <c r="H6" s="69" t="s">
        <v>316</v>
      </c>
      <c r="I6" s="68" t="s">
        <v>317</v>
      </c>
      <c r="J6" s="68" t="s">
        <v>318</v>
      </c>
      <c r="K6" s="68" t="s">
        <v>319</v>
      </c>
      <c r="L6" s="68"/>
    </row>
    <row r="7" spans="1:12" s="14" customFormat="1">
      <c r="A7" s="30"/>
      <c r="B7" s="14" t="s">
        <v>239</v>
      </c>
      <c r="D7" s="116">
        <f>SUM(F7:L7)</f>
        <v>91393</v>
      </c>
      <c r="E7" s="19"/>
      <c r="F7" s="37">
        <v>44409</v>
      </c>
      <c r="G7" s="71">
        <v>32725</v>
      </c>
      <c r="H7" s="71">
        <v>14259</v>
      </c>
      <c r="I7" s="71"/>
      <c r="J7" s="71"/>
      <c r="K7" s="71"/>
      <c r="L7" s="71"/>
    </row>
    <row r="8" spans="1:12" s="14" customFormat="1">
      <c r="A8" s="30"/>
      <c r="B8" s="184" t="s">
        <v>312</v>
      </c>
      <c r="C8" s="184"/>
      <c r="D8" s="186">
        <v>-32725</v>
      </c>
      <c r="E8" s="209">
        <v>-32725</v>
      </c>
      <c r="F8" s="37"/>
      <c r="G8" s="71"/>
      <c r="H8" s="71"/>
      <c r="I8" s="71"/>
      <c r="J8" s="71"/>
      <c r="K8" s="71"/>
      <c r="L8" s="71"/>
    </row>
    <row r="9" spans="1:12" s="25" customFormat="1">
      <c r="A9" s="25">
        <v>1100006890</v>
      </c>
      <c r="B9" s="24" t="s">
        <v>101</v>
      </c>
      <c r="C9" s="24"/>
      <c r="D9" s="180">
        <f>IFERROR(VLOOKUP(A9,'RI - data'!D$43:G$186,4,FALSE),0)</f>
        <v>471.46</v>
      </c>
      <c r="F9" s="37"/>
    </row>
    <row r="10" spans="1:12" s="25" customFormat="1">
      <c r="A10" s="14" t="s">
        <v>205</v>
      </c>
      <c r="B10" s="14" t="s">
        <v>206</v>
      </c>
      <c r="C10" s="14"/>
      <c r="D10" s="123">
        <f>IFERROR(VLOOKUP(A10,'RI - data'!B$43:G$91,6,FALSE),0)</f>
        <v>-179865.27</v>
      </c>
      <c r="E10" s="25" t="s">
        <v>320</v>
      </c>
      <c r="F10" s="37"/>
    </row>
    <row r="11" spans="1:12" s="14" customFormat="1">
      <c r="A11" s="30"/>
      <c r="D11" s="33">
        <f>SUM(D6:D10)</f>
        <v>13268346.450000001</v>
      </c>
      <c r="E11" s="19"/>
      <c r="F11" s="18"/>
      <c r="H11" s="17"/>
    </row>
    <row r="12" spans="1:12" s="14" customFormat="1">
      <c r="A12" s="30"/>
      <c r="D12" s="33"/>
      <c r="E12" s="19"/>
      <c r="F12" s="18"/>
      <c r="H12" s="17"/>
    </row>
    <row r="13" spans="1:12" s="14" customFormat="1">
      <c r="A13" s="14">
        <v>1100006801</v>
      </c>
      <c r="B13" s="14" t="s">
        <v>55</v>
      </c>
      <c r="D13" s="28">
        <f>IFERROR(VLOOKUP(A13,'RI - data'!D$43:G$186,4,FALSE),0)+E13</f>
        <v>739977.35</v>
      </c>
      <c r="E13" s="177">
        <v>202370</v>
      </c>
      <c r="F13" s="178" t="s">
        <v>325</v>
      </c>
      <c r="G13" s="178"/>
      <c r="H13" s="178"/>
      <c r="I13" s="178"/>
    </row>
    <row r="14" spans="1:12" s="14" customFormat="1">
      <c r="B14" s="14" t="s">
        <v>238</v>
      </c>
      <c r="D14" s="72">
        <f>-SUM(D7)</f>
        <v>-91393</v>
      </c>
      <c r="E14" s="19"/>
    </row>
    <row r="15" spans="1:12" s="14" customFormat="1">
      <c r="D15" s="33">
        <f>SUM(D13:D14)</f>
        <v>648584.35</v>
      </c>
      <c r="E15" s="19"/>
    </row>
    <row r="16" spans="1:12" s="14" customFormat="1">
      <c r="A16" s="14">
        <v>1100006802</v>
      </c>
      <c r="B16" s="21" t="s">
        <v>218</v>
      </c>
      <c r="C16" s="21"/>
      <c r="D16" s="28">
        <f>IFERROR(VLOOKUP(A16,'RI - data'!D$43:G$186,4,FALSE),0)</f>
        <v>0</v>
      </c>
      <c r="F16" s="18"/>
    </row>
    <row r="17" spans="1:10">
      <c r="I17"/>
      <c r="J17"/>
    </row>
    <row r="18" spans="1:10" s="14" customFormat="1">
      <c r="A18" s="14">
        <v>1100006903</v>
      </c>
      <c r="B18" s="14" t="s">
        <v>43</v>
      </c>
      <c r="D18" s="28">
        <f>IFERROR(VLOOKUP(A18,'RI - data'!D$43:G$186,4,FALSE),0)</f>
        <v>2195628.38</v>
      </c>
      <c r="F18" s="18"/>
      <c r="I18"/>
      <c r="J18"/>
    </row>
    <row r="19" spans="1:10" s="14" customFormat="1">
      <c r="A19" s="14">
        <v>1100006805</v>
      </c>
      <c r="B19" s="14" t="s">
        <v>64</v>
      </c>
      <c r="C19" s="28">
        <f>IFERROR(VLOOKUP(A19,'RI - data'!D$43:G$104,4,FALSE),0)</f>
        <v>0</v>
      </c>
      <c r="D19" s="28">
        <f>IFERROR(VLOOKUP(A19,'RI - data'!D$43:G$186,4,FALSE),0)</f>
        <v>0</v>
      </c>
      <c r="F19" s="18"/>
      <c r="I19"/>
      <c r="J19"/>
    </row>
    <row r="20" spans="1:10" s="14" customFormat="1">
      <c r="A20" s="14">
        <v>1100014100</v>
      </c>
      <c r="B20" s="14" t="s">
        <v>155</v>
      </c>
      <c r="C20" s="28">
        <f>IFERROR(VLOOKUP(A20,'RI - data'!D$43:G$104,4,FALSE),0)</f>
        <v>731349.41</v>
      </c>
      <c r="D20" s="28"/>
      <c r="F20" s="18"/>
    </row>
    <row r="21" spans="1:10" s="14" customFormat="1">
      <c r="A21" s="14">
        <v>1100014200</v>
      </c>
      <c r="B21" s="14" t="s">
        <v>156</v>
      </c>
      <c r="C21" s="28">
        <f>IFERROR(VLOOKUP(A21,'RI - data'!D$43:G$104,4,FALSE),0)</f>
        <v>45733.06</v>
      </c>
      <c r="D21" s="28"/>
      <c r="F21" s="18"/>
    </row>
    <row r="22" spans="1:10" s="14" customFormat="1">
      <c r="A22" s="14">
        <v>1100014300</v>
      </c>
      <c r="B22" s="14" t="s">
        <v>157</v>
      </c>
      <c r="C22" s="28">
        <f>IFERROR(VLOOKUP(A22,'RI - data'!D$43:G$104,4,FALSE),0)</f>
        <v>55611.41</v>
      </c>
      <c r="D22" s="28"/>
      <c r="F22" s="18"/>
    </row>
    <row r="23" spans="1:10" s="14" customFormat="1">
      <c r="B23" s="14" t="s">
        <v>158</v>
      </c>
      <c r="D23" s="28">
        <f>SUM(C19:C22)</f>
        <v>832693.88</v>
      </c>
      <c r="F23" s="18"/>
    </row>
    <row r="24" spans="1:10" s="14" customFormat="1">
      <c r="D24" s="28"/>
      <c r="F24" s="18"/>
    </row>
    <row r="25" spans="1:10" s="14" customFormat="1">
      <c r="A25" s="14" t="s">
        <v>161</v>
      </c>
      <c r="B25" s="14" t="s">
        <v>217</v>
      </c>
      <c r="C25" s="28">
        <f>IFERROR(VLOOKUP(A25,'RI - data'!B$43:G$186,6,FALSE),0)-C29</f>
        <v>89708.84</v>
      </c>
      <c r="F25" s="18"/>
    </row>
    <row r="26" spans="1:10" s="14" customFormat="1">
      <c r="A26" s="14" t="s">
        <v>162</v>
      </c>
      <c r="B26" s="14" t="s">
        <v>216</v>
      </c>
      <c r="C26" s="28">
        <f>IFERROR(VLOOKUP(A26,'RI - data'!B$43:G$99,6,FALSE),0)-C30</f>
        <v>29799.100000000006</v>
      </c>
      <c r="F26" s="18"/>
    </row>
    <row r="27" spans="1:10" s="11" customFormat="1">
      <c r="B27" s="11" t="s">
        <v>192</v>
      </c>
      <c r="D27" s="28">
        <f>SUM(C25:C26)</f>
        <v>119507.94</v>
      </c>
      <c r="F27" s="29"/>
    </row>
    <row r="28" spans="1:10" s="11" customFormat="1" ht="13.5" thickBot="1">
      <c r="D28" s="28"/>
      <c r="F28" s="29"/>
    </row>
    <row r="29" spans="1:10" s="11" customFormat="1" ht="13.5" thickBot="1">
      <c r="A29" s="11" t="s">
        <v>194</v>
      </c>
      <c r="B29" s="11" t="s">
        <v>198</v>
      </c>
      <c r="C29" s="64">
        <v>96770</v>
      </c>
      <c r="D29" s="28"/>
      <c r="E29" s="25" t="s">
        <v>226</v>
      </c>
      <c r="F29" s="37"/>
      <c r="G29" s="25"/>
    </row>
    <row r="30" spans="1:10" s="11" customFormat="1" ht="13.5" thickBot="1">
      <c r="A30" s="11" t="s">
        <v>195</v>
      </c>
      <c r="B30" s="11" t="s">
        <v>196</v>
      </c>
      <c r="C30" s="64">
        <v>78450</v>
      </c>
      <c r="D30" s="28"/>
      <c r="E30" s="25" t="s">
        <v>226</v>
      </c>
      <c r="F30" s="37"/>
      <c r="G30" s="25"/>
    </row>
    <row r="31" spans="1:10" s="11" customFormat="1">
      <c r="B31" s="11" t="s">
        <v>197</v>
      </c>
      <c r="D31" s="28">
        <f>SUM(C29:C30)</f>
        <v>175220</v>
      </c>
      <c r="F31" s="29"/>
    </row>
    <row r="32" spans="1:10" s="11" customFormat="1">
      <c r="D32" s="28"/>
      <c r="F32" s="27"/>
    </row>
    <row r="33" spans="1:6" s="14" customFormat="1">
      <c r="A33" s="14" t="s">
        <v>163</v>
      </c>
      <c r="B33" s="14" t="s">
        <v>69</v>
      </c>
      <c r="D33" s="28">
        <f>IFERROR(VLOOKUP(A33,'RI - data'!B$43:G$91,6,FALSE),0)</f>
        <v>689084.15</v>
      </c>
      <c r="F33" s="18"/>
    </row>
    <row r="34" spans="1:6" s="14" customFormat="1">
      <c r="A34" s="14" t="s">
        <v>326</v>
      </c>
      <c r="B34" s="191" t="s">
        <v>327</v>
      </c>
      <c r="D34" s="123">
        <f>IFERROR(VLOOKUP(A34,'RI - data'!B$43:G$91,6,FALSE),0)</f>
        <v>1500</v>
      </c>
      <c r="F34" s="18"/>
    </row>
    <row r="35" spans="1:6" s="14" customFormat="1">
      <c r="B35" s="14" t="s">
        <v>328</v>
      </c>
      <c r="D35" s="33">
        <f>SUM(D33:D34)</f>
        <v>690584.15</v>
      </c>
      <c r="F35" s="18"/>
    </row>
    <row r="36" spans="1:6" s="14" customFormat="1">
      <c r="D36" s="28"/>
      <c r="F36" s="18"/>
    </row>
    <row r="37" spans="1:6" s="11" customFormat="1">
      <c r="D37" s="28">
        <f>IFERROR(VLOOKUP(A37,'RI - data'!B$43:G$91,6,FALSE),0)</f>
        <v>0</v>
      </c>
      <c r="F37" s="29"/>
    </row>
    <row r="38" spans="1:6" s="14" customFormat="1">
      <c r="A38" s="14" t="s">
        <v>166</v>
      </c>
      <c r="B38" s="14" t="s">
        <v>168</v>
      </c>
      <c r="C38" s="28">
        <f>IFERROR(VLOOKUP(A38,'RI - data'!B$43:G$186,6,FALSE),0)-C42</f>
        <v>82040.63</v>
      </c>
    </row>
    <row r="39" spans="1:6" s="14" customFormat="1">
      <c r="A39" s="14" t="s">
        <v>189</v>
      </c>
      <c r="B39" s="14" t="s">
        <v>167</v>
      </c>
      <c r="C39" s="28">
        <f>IFERROR(VLOOKUP(A39,'RI - data'!B$43:G$186,6,FALSE),0)-C43</f>
        <v>100622.54</v>
      </c>
    </row>
    <row r="40" spans="1:6" s="14" customFormat="1">
      <c r="B40" s="14" t="s">
        <v>169</v>
      </c>
      <c r="D40" s="28">
        <f>SUM(C38:C39)</f>
        <v>182663.16999999998</v>
      </c>
    </row>
    <row r="41" spans="1:6" s="14" customFormat="1">
      <c r="D41" s="28"/>
    </row>
    <row r="42" spans="1:6" s="14" customFormat="1">
      <c r="A42" s="14" t="s">
        <v>164</v>
      </c>
      <c r="B42" s="14" t="s">
        <v>25</v>
      </c>
      <c r="D42" s="28">
        <f>IFERROR(VLOOKUP(A42,'RI - data'!B$43:G$91,6,FALSE),0)</f>
        <v>215412.13</v>
      </c>
    </row>
    <row r="43" spans="1:6" s="14" customFormat="1">
      <c r="D43" s="28"/>
    </row>
    <row r="44" spans="1:6" s="14" customFormat="1">
      <c r="A44" s="14" t="s">
        <v>165</v>
      </c>
      <c r="B44" s="14" t="s">
        <v>33</v>
      </c>
      <c r="D44" s="28">
        <f>IFERROR(VLOOKUP(A44,'RI - data'!B$43:G$91,6,FALSE),0)</f>
        <v>1220476.05</v>
      </c>
    </row>
    <row r="45" spans="1:6" s="14" customFormat="1">
      <c r="D45" s="28"/>
    </row>
    <row r="46" spans="1:6" s="16" customFormat="1">
      <c r="B46" s="16" t="s">
        <v>34</v>
      </c>
      <c r="D46" s="32">
        <f>SUM(D6:D44)-D11-D15</f>
        <v>20239700.649999999</v>
      </c>
    </row>
    <row r="47" spans="1:6" s="20" customFormat="1">
      <c r="B47" s="20" t="s">
        <v>99</v>
      </c>
      <c r="D47" s="33"/>
    </row>
    <row r="48" spans="1:6" s="14" customFormat="1">
      <c r="B48" s="14" t="s">
        <v>36</v>
      </c>
      <c r="D48" s="28"/>
    </row>
    <row r="49" spans="1:12" s="14" customFormat="1">
      <c r="D49" s="28"/>
    </row>
    <row r="50" spans="1:12" s="14" customFormat="1">
      <c r="B50" s="16" t="s">
        <v>67</v>
      </c>
      <c r="C50" s="16"/>
      <c r="D50" s="28"/>
    </row>
    <row r="51" spans="1:12" s="14" customFormat="1">
      <c r="D51" s="28"/>
      <c r="F51" s="229" t="s">
        <v>241</v>
      </c>
      <c r="G51" s="229"/>
      <c r="H51" s="229"/>
      <c r="I51" s="229"/>
      <c r="J51" s="229"/>
      <c r="K51" s="229"/>
      <c r="L51" s="229"/>
    </row>
    <row r="52" spans="1:12" s="14" customFormat="1">
      <c r="A52" s="14">
        <v>1100007400</v>
      </c>
      <c r="B52" s="14" t="s">
        <v>31</v>
      </c>
      <c r="D52" s="28">
        <f>IFERROR(VLOOKUP(A52,'RI - data'!D$43:G$186,4,FALSE),0)</f>
        <v>3463951.41</v>
      </c>
      <c r="F52" s="185" t="s">
        <v>308</v>
      </c>
      <c r="G52" s="185" t="s">
        <v>309</v>
      </c>
      <c r="H52" s="69" t="s">
        <v>316</v>
      </c>
      <c r="I52" s="68" t="s">
        <v>317</v>
      </c>
      <c r="J52" s="68" t="s">
        <v>318</v>
      </c>
      <c r="K52" s="68" t="s">
        <v>319</v>
      </c>
      <c r="L52" s="68" t="s">
        <v>242</v>
      </c>
    </row>
    <row r="53" spans="1:12" s="14" customFormat="1">
      <c r="B53" s="14" t="s">
        <v>239</v>
      </c>
      <c r="D53" s="72">
        <f>SUM(F53:L53)</f>
        <v>0</v>
      </c>
      <c r="F53" s="67"/>
      <c r="G53" s="37"/>
      <c r="H53" s="70"/>
      <c r="I53" s="25"/>
      <c r="J53" s="25"/>
      <c r="K53" s="25"/>
      <c r="L53" s="25"/>
    </row>
    <row r="54" spans="1:12" s="14" customFormat="1">
      <c r="D54" s="33">
        <f>SUM(D52:D53)</f>
        <v>3463951.41</v>
      </c>
    </row>
    <row r="55" spans="1:12" s="14" customFormat="1">
      <c r="A55" s="14">
        <v>1100007401</v>
      </c>
      <c r="B55" s="14" t="s">
        <v>55</v>
      </c>
      <c r="D55" s="28">
        <f>IFERROR(VLOOKUP(A55,'RI - data'!D$43:G$186,4,FALSE),0)</f>
        <v>216655.09</v>
      </c>
    </row>
    <row r="56" spans="1:12" s="14" customFormat="1">
      <c r="B56" s="14" t="s">
        <v>311</v>
      </c>
      <c r="D56" s="72">
        <f>-D53</f>
        <v>0</v>
      </c>
    </row>
    <row r="57" spans="1:12" s="14" customFormat="1">
      <c r="D57" s="33">
        <f>SUM(D55:D56)</f>
        <v>216655.09</v>
      </c>
    </row>
    <row r="58" spans="1:12" s="14" customFormat="1">
      <c r="A58" s="14">
        <v>1100007500</v>
      </c>
      <c r="B58" s="14" t="s">
        <v>43</v>
      </c>
      <c r="D58" s="28">
        <f>IFERROR(VLOOKUP(A58,'RI - data'!D$43:G$186,4,FALSE),0)</f>
        <v>683435.2</v>
      </c>
    </row>
    <row r="59" spans="1:12" s="14" customFormat="1">
      <c r="D59" s="28"/>
    </row>
    <row r="60" spans="1:12" s="14" customFormat="1">
      <c r="D60" s="28"/>
    </row>
    <row r="61" spans="1:12" s="14" customFormat="1">
      <c r="A61" s="14" t="s">
        <v>173</v>
      </c>
      <c r="B61" s="14" t="s">
        <v>170</v>
      </c>
      <c r="C61" s="28">
        <f>IFERROR(VLOOKUP(A61,'RI - data'!B$43:G$108,6,FALSE),0)</f>
        <v>14136.12</v>
      </c>
    </row>
    <row r="62" spans="1:12" s="14" customFormat="1">
      <c r="A62" s="14" t="s">
        <v>174</v>
      </c>
      <c r="B62" s="14" t="s">
        <v>171</v>
      </c>
      <c r="C62" s="28">
        <f>IFERROR(VLOOKUP(A62,'RI - data'!B$43:G$108,6,FALSE),0)</f>
        <v>24351.88</v>
      </c>
    </row>
    <row r="63" spans="1:12" s="14" customFormat="1">
      <c r="A63" s="14" t="s">
        <v>283</v>
      </c>
      <c r="C63" s="28">
        <f>IFERROR(VLOOKUP(A63,'RI - data'!B$43:G$108,6,FALSE),0)</f>
        <v>0</v>
      </c>
    </row>
    <row r="64" spans="1:12" s="14" customFormat="1">
      <c r="B64" s="14" t="s">
        <v>172</v>
      </c>
      <c r="D64" s="28">
        <f>SUM(C61:C63)</f>
        <v>38488</v>
      </c>
    </row>
    <row r="65" spans="1:8" s="14" customFormat="1">
      <c r="D65" s="28"/>
    </row>
    <row r="66" spans="1:8" s="14" customFormat="1">
      <c r="A66" s="14" t="s">
        <v>175</v>
      </c>
      <c r="B66" s="14" t="s">
        <v>56</v>
      </c>
      <c r="D66" s="28">
        <f>IFERROR(VLOOKUP(A66,'RI - data'!B$43:G$108,6,FALSE),0)</f>
        <v>94412.09</v>
      </c>
    </row>
    <row r="67" spans="1:8" s="14" customFormat="1">
      <c r="D67" s="28"/>
    </row>
    <row r="68" spans="1:8" s="14" customFormat="1">
      <c r="A68" s="14" t="s">
        <v>176</v>
      </c>
      <c r="B68" s="14" t="s">
        <v>178</v>
      </c>
      <c r="C68" s="28">
        <f>IFERROR(VLOOKUP(A68,'RI - data'!B$43:G$91,6,FALSE),0)</f>
        <v>2075.31</v>
      </c>
    </row>
    <row r="69" spans="1:8" s="14" customFormat="1">
      <c r="A69" s="14" t="s">
        <v>177</v>
      </c>
      <c r="B69" s="14" t="s">
        <v>167</v>
      </c>
      <c r="C69" s="28">
        <f>IFERROR(VLOOKUP(A69,'RI - data'!B$43:G$91,6,FALSE),0)</f>
        <v>8612.67</v>
      </c>
    </row>
    <row r="70" spans="1:8" s="14" customFormat="1">
      <c r="B70" s="14" t="s">
        <v>68</v>
      </c>
      <c r="D70" s="28">
        <f>SUM(C68:C69)</f>
        <v>10687.98</v>
      </c>
    </row>
    <row r="71" spans="1:8" s="14" customFormat="1">
      <c r="D71" s="28"/>
    </row>
    <row r="72" spans="1:8" s="14" customFormat="1">
      <c r="A72" s="14" t="s">
        <v>190</v>
      </c>
      <c r="B72" s="14" t="s">
        <v>25</v>
      </c>
      <c r="D72" s="28">
        <f>IFERROR(VLOOKUP(A72,'RI - data'!B$43:G$91,6,FALSE),0)</f>
        <v>51350.1</v>
      </c>
    </row>
    <row r="73" spans="1:8" s="14" customFormat="1">
      <c r="D73" s="28"/>
      <c r="E73"/>
      <c r="F73"/>
      <c r="G73"/>
      <c r="H73"/>
    </row>
    <row r="74" spans="1:8" s="14" customFormat="1">
      <c r="A74" s="14" t="s">
        <v>179</v>
      </c>
      <c r="B74" s="14" t="s">
        <v>38</v>
      </c>
      <c r="D74" s="28">
        <f>'RI - data'!G93</f>
        <v>707787.08</v>
      </c>
      <c r="E74"/>
      <c r="F74"/>
      <c r="G74"/>
      <c r="H74"/>
    </row>
    <row r="75" spans="1:8" s="14" customFormat="1">
      <c r="D75" s="28"/>
    </row>
    <row r="76" spans="1:8" s="16" customFormat="1">
      <c r="B76" s="16" t="s">
        <v>37</v>
      </c>
      <c r="D76" s="33">
        <f>SUM(D52:D74)-D54-D57</f>
        <v>5266766.9499999993</v>
      </c>
    </row>
    <row r="77" spans="1:8" s="20" customFormat="1">
      <c r="B77" s="20" t="s">
        <v>35</v>
      </c>
      <c r="D77" s="34"/>
    </row>
    <row r="78" spans="1:8" s="14" customFormat="1">
      <c r="B78" s="14" t="s">
        <v>36</v>
      </c>
      <c r="D78" s="28"/>
    </row>
    <row r="79" spans="1:8" s="14" customFormat="1">
      <c r="D79" s="28"/>
    </row>
    <row r="80" spans="1:8" s="14" customFormat="1">
      <c r="B80" s="16" t="s">
        <v>39</v>
      </c>
      <c r="C80" s="16"/>
      <c r="D80" s="28"/>
    </row>
    <row r="81" spans="1:12" s="14" customFormat="1">
      <c r="D81" s="28"/>
      <c r="F81" s="229" t="s">
        <v>241</v>
      </c>
      <c r="G81" s="229"/>
      <c r="H81" s="229"/>
      <c r="I81" s="229"/>
      <c r="J81" s="229"/>
      <c r="K81" s="229"/>
      <c r="L81" s="229"/>
    </row>
    <row r="82" spans="1:12" s="14" customFormat="1">
      <c r="A82" s="14">
        <v>1100007000</v>
      </c>
      <c r="B82" s="14" t="s">
        <v>31</v>
      </c>
      <c r="C82" s="11"/>
      <c r="D82" s="28">
        <f>IFERROR(VLOOKUP(A82,'RI - data'!D$43:G$186,4,FALSE),0)+E82</f>
        <v>6476211.0999999996</v>
      </c>
      <c r="E82" s="176">
        <f>-E13</f>
        <v>-202370</v>
      </c>
      <c r="F82" s="67" t="s">
        <v>308</v>
      </c>
      <c r="G82" s="185" t="s">
        <v>309</v>
      </c>
      <c r="H82" s="69" t="s">
        <v>316</v>
      </c>
      <c r="I82" s="68" t="s">
        <v>317</v>
      </c>
      <c r="J82" s="68" t="s">
        <v>318</v>
      </c>
      <c r="K82" s="68" t="s">
        <v>319</v>
      </c>
      <c r="L82" s="68" t="s">
        <v>242</v>
      </c>
    </row>
    <row r="83" spans="1:12" s="14" customFormat="1">
      <c r="B83" s="14" t="s">
        <v>239</v>
      </c>
      <c r="C83" s="11"/>
      <c r="D83" s="116">
        <f>SUM(F83:L83)</f>
        <v>8358</v>
      </c>
      <c r="E83" s="11"/>
      <c r="F83" s="37">
        <v>8358</v>
      </c>
      <c r="G83" s="37"/>
      <c r="H83" s="69"/>
      <c r="I83" s="68"/>
      <c r="J83" s="68"/>
      <c r="K83" s="68"/>
      <c r="L83" s="25"/>
    </row>
    <row r="84" spans="1:12" s="14" customFormat="1">
      <c r="B84" s="184" t="s">
        <v>312</v>
      </c>
      <c r="C84" s="184"/>
      <c r="D84" s="187">
        <v>32725</v>
      </c>
      <c r="E84" s="11"/>
      <c r="F84" s="37"/>
      <c r="G84" s="37"/>
      <c r="H84" s="70"/>
      <c r="I84" s="25"/>
      <c r="J84" s="25"/>
      <c r="K84" s="25"/>
      <c r="L84" s="25"/>
    </row>
    <row r="85" spans="1:12" s="14" customFormat="1">
      <c r="C85" s="11"/>
      <c r="D85" s="33">
        <f>SUM(D82:D84)</f>
        <v>6517294.0999999996</v>
      </c>
      <c r="E85" s="11"/>
      <c r="F85" s="23"/>
      <c r="G85" s="11"/>
    </row>
    <row r="86" spans="1:12" s="14" customFormat="1">
      <c r="A86" s="14">
        <v>1100007003</v>
      </c>
      <c r="B86" s="14" t="s">
        <v>43</v>
      </c>
      <c r="C86" s="11"/>
      <c r="D86" s="28">
        <f>IFERROR(VLOOKUP(A86,'RI - data'!D$43:G$186,4,FALSE),0)</f>
        <v>633638.18000000005</v>
      </c>
      <c r="E86" s="11"/>
      <c r="F86" s="11"/>
      <c r="G86" s="11"/>
      <c r="H86" s="11"/>
    </row>
    <row r="87" spans="1:12" s="14" customFormat="1">
      <c r="C87" s="11"/>
      <c r="D87" s="28"/>
      <c r="E87" s="11"/>
      <c r="F87" s="11"/>
      <c r="G87" s="11"/>
      <c r="H87" s="11"/>
    </row>
    <row r="88" spans="1:12" s="14" customFormat="1">
      <c r="A88" s="14">
        <v>1100007001</v>
      </c>
      <c r="B88" s="14" t="s">
        <v>55</v>
      </c>
      <c r="C88" s="11"/>
      <c r="D88" s="28">
        <f>IFERROR(VLOOKUP(A88,'RI - data'!D$43:G$186,4,FALSE),0)</f>
        <v>166734.78</v>
      </c>
      <c r="F88" s="17"/>
    </row>
    <row r="89" spans="1:12" s="14" customFormat="1">
      <c r="B89" s="14" t="s">
        <v>310</v>
      </c>
      <c r="C89" s="11"/>
      <c r="D89" s="72">
        <f>-SUM(D83)</f>
        <v>-8358</v>
      </c>
      <c r="F89" s="17"/>
    </row>
    <row r="90" spans="1:12" s="14" customFormat="1">
      <c r="C90" s="11"/>
      <c r="D90" s="33">
        <f>SUM(D88:D89)</f>
        <v>158376.78</v>
      </c>
      <c r="F90" s="17"/>
    </row>
    <row r="91" spans="1:12" s="14" customFormat="1">
      <c r="C91" s="11"/>
      <c r="D91" s="28"/>
      <c r="F91" s="17"/>
    </row>
    <row r="92" spans="1:12" s="14" customFormat="1">
      <c r="A92" s="14" t="s">
        <v>212</v>
      </c>
      <c r="B92" s="14" t="s">
        <v>199</v>
      </c>
      <c r="C92" s="11"/>
      <c r="D92" s="28">
        <f>IFERROR(VLOOKUP(A92,'RI - data'!B$43:G$91,6,FALSE),0)</f>
        <v>32664.06</v>
      </c>
      <c r="E92" s="11"/>
      <c r="F92" s="17"/>
    </row>
    <row r="93" spans="1:12" s="14" customFormat="1">
      <c r="C93" s="11"/>
      <c r="D93" s="28"/>
      <c r="F93" s="17"/>
    </row>
    <row r="94" spans="1:12" s="14" customFormat="1">
      <c r="A94" s="14" t="s">
        <v>180</v>
      </c>
      <c r="B94" s="14" t="s">
        <v>102</v>
      </c>
      <c r="C94" s="11"/>
      <c r="D94" s="28">
        <f>IFERROR(VLOOKUP(A94,'RI - data'!B$43:G$91,6,FALSE),0)</f>
        <v>58629.11</v>
      </c>
      <c r="F94" s="17"/>
    </row>
    <row r="95" spans="1:12" s="14" customFormat="1">
      <c r="C95" s="11"/>
      <c r="D95" s="28"/>
      <c r="E95" s="16"/>
    </row>
    <row r="96" spans="1:12" s="14" customFormat="1" ht="12.75" customHeight="1" thickBot="1">
      <c r="A96" s="14" t="s">
        <v>181</v>
      </c>
      <c r="B96" s="14" t="s">
        <v>184</v>
      </c>
      <c r="C96" s="28">
        <f>IFERROR(VLOOKUP(A96,'RI - data'!B$43:G$91,6,FALSE),0)</f>
        <v>1831213.03</v>
      </c>
      <c r="D96" s="11"/>
      <c r="F96" s="226" t="s">
        <v>230</v>
      </c>
      <c r="G96" s="227"/>
    </row>
    <row r="97" spans="1:7" s="14" customFormat="1" ht="12.75" customHeight="1" thickBot="1">
      <c r="A97" s="14" t="s">
        <v>276</v>
      </c>
      <c r="B97" s="14" t="s">
        <v>277</v>
      </c>
      <c r="C97" s="11"/>
      <c r="D97" s="64">
        <v>-477407</v>
      </c>
      <c r="E97" s="25" t="s">
        <v>280</v>
      </c>
      <c r="F97" s="226"/>
      <c r="G97" s="227"/>
    </row>
    <row r="98" spans="1:7" s="14" customFormat="1" ht="12.75" customHeight="1" thickBot="1">
      <c r="A98" s="14" t="s">
        <v>278</v>
      </c>
      <c r="B98" s="14" t="s">
        <v>279</v>
      </c>
      <c r="C98" s="139"/>
      <c r="D98" s="64">
        <v>-762864</v>
      </c>
      <c r="E98" s="25" t="s">
        <v>280</v>
      </c>
      <c r="F98" s="226"/>
      <c r="G98" s="227"/>
    </row>
    <row r="99" spans="1:7" s="14" customFormat="1" ht="12.75" customHeight="1">
      <c r="C99" s="28">
        <f>SUM(C96-D97-D98)</f>
        <v>3071484.0300000003</v>
      </c>
      <c r="D99" s="11"/>
      <c r="F99" s="226"/>
      <c r="G99" s="227"/>
    </row>
    <row r="100" spans="1:7" s="14" customFormat="1">
      <c r="A100" s="14" t="s">
        <v>182</v>
      </c>
      <c r="B100" s="14" t="s">
        <v>185</v>
      </c>
      <c r="C100" s="28">
        <f>IFERROR(VLOOKUP(A100,'RI - data'!B$43:G$91,6,FALSE),0)</f>
        <v>657354.9</v>
      </c>
      <c r="D100" s="11"/>
      <c r="F100" s="226"/>
      <c r="G100" s="227"/>
    </row>
    <row r="101" spans="1:7" s="14" customFormat="1">
      <c r="A101" s="14" t="s">
        <v>207</v>
      </c>
      <c r="B101" s="14" t="s">
        <v>208</v>
      </c>
      <c r="C101" s="28">
        <f>IFERROR(VLOOKUP(A101,'RI - data'!B$43:G$91,6,FALSE),0)</f>
        <v>141040.94</v>
      </c>
      <c r="D101" s="11"/>
      <c r="F101" s="226"/>
      <c r="G101" s="227"/>
    </row>
    <row r="102" spans="1:7" s="14" customFormat="1">
      <c r="A102" s="14" t="s">
        <v>183</v>
      </c>
      <c r="B102" s="14" t="s">
        <v>186</v>
      </c>
      <c r="C102" s="28">
        <f>IFERROR(VLOOKUP(A102,'RI - data'!B$43:G$91,6,FALSE),0)</f>
        <v>901213.73</v>
      </c>
      <c r="D102" s="11"/>
      <c r="F102" s="226"/>
      <c r="G102" s="227"/>
    </row>
    <row r="103" spans="1:7" s="14" customFormat="1">
      <c r="B103" s="14" t="s">
        <v>26</v>
      </c>
      <c r="C103" s="11"/>
      <c r="D103" s="28">
        <f>SUM(C99:C102)</f>
        <v>4771093.5999999996</v>
      </c>
      <c r="F103" s="226"/>
      <c r="G103" s="227"/>
    </row>
    <row r="104" spans="1:7" s="14" customFormat="1">
      <c r="F104" s="226"/>
      <c r="G104" s="227"/>
    </row>
    <row r="105" spans="1:7" s="14" customFormat="1">
      <c r="F105" s="226"/>
      <c r="G105" s="227"/>
    </row>
    <row r="106" spans="1:7" s="14" customFormat="1">
      <c r="C106" s="11"/>
      <c r="D106" s="28"/>
      <c r="F106" s="226"/>
      <c r="G106" s="227"/>
    </row>
    <row r="107" spans="1:7" s="14" customFormat="1">
      <c r="C107" s="11"/>
      <c r="D107" s="28"/>
      <c r="F107" s="226"/>
      <c r="G107" s="227"/>
    </row>
    <row r="108" spans="1:7" s="14" customFormat="1">
      <c r="A108" s="14" t="s">
        <v>187</v>
      </c>
      <c r="B108" s="14" t="s">
        <v>40</v>
      </c>
      <c r="C108" s="11"/>
      <c r="D108" s="28">
        <f>IFERROR(VLOOKUP(A108,'RI - data'!B$43:G$91,6,FALSE),0)</f>
        <v>847667.23</v>
      </c>
      <c r="F108" s="226"/>
      <c r="G108" s="227"/>
    </row>
    <row r="109" spans="1:7" s="14" customFormat="1">
      <c r="C109" s="11"/>
      <c r="D109" s="26"/>
      <c r="F109" s="226"/>
      <c r="G109" s="227"/>
    </row>
    <row r="110" spans="1:7" s="14" customFormat="1">
      <c r="A110" s="14" t="s">
        <v>188</v>
      </c>
      <c r="B110" s="14" t="s">
        <v>41</v>
      </c>
      <c r="C110" s="28">
        <f>IFERROR(VLOOKUP(A110,'RI - data'!B$43:G$91,6,FALSE),0)</f>
        <v>415818.9</v>
      </c>
      <c r="D110" s="11"/>
      <c r="F110" s="226"/>
      <c r="G110" s="227"/>
    </row>
    <row r="111" spans="1:7" s="14" customFormat="1">
      <c r="A111" s="14" t="s">
        <v>249</v>
      </c>
      <c r="B111" s="14" t="s">
        <v>250</v>
      </c>
      <c r="C111" s="28">
        <f>IFERROR(VLOOKUP(A111,'RI - data'!B$43:G$91,6,FALSE),0)</f>
        <v>-105700</v>
      </c>
      <c r="D111" s="11"/>
      <c r="F111" s="226"/>
      <c r="G111" s="227"/>
    </row>
    <row r="112" spans="1:7" s="14" customFormat="1">
      <c r="A112" s="14" t="s">
        <v>209</v>
      </c>
      <c r="B112" s="14" t="s">
        <v>210</v>
      </c>
      <c r="C112" s="28">
        <f>IFERROR(VLOOKUP(A112,'RI - data'!B$43:G$91,6,FALSE),0)</f>
        <v>45578.77</v>
      </c>
      <c r="D112" s="11"/>
      <c r="F112" s="226"/>
      <c r="G112" s="227"/>
    </row>
    <row r="113" spans="2:7" s="14" customFormat="1">
      <c r="B113" s="14" t="s">
        <v>211</v>
      </c>
      <c r="C113" s="28"/>
      <c r="D113" s="27">
        <f>SUM(C110:C112)</f>
        <v>355697.67000000004</v>
      </c>
      <c r="F113" s="226"/>
      <c r="G113" s="227"/>
    </row>
    <row r="114" spans="2:7" s="14" customFormat="1">
      <c r="C114" s="28"/>
      <c r="E114" s="17"/>
    </row>
    <row r="115" spans="2:7" s="14" customFormat="1">
      <c r="D115" s="26"/>
      <c r="G115" s="17"/>
    </row>
    <row r="116" spans="2:7" s="16" customFormat="1">
      <c r="B116" s="16" t="s">
        <v>42</v>
      </c>
      <c r="D116" s="33">
        <f>SUM(D82:D113)-D85-D90</f>
        <v>12134789.73</v>
      </c>
      <c r="F116" s="19"/>
      <c r="G116" s="19"/>
    </row>
    <row r="117" spans="2:7" s="20" customFormat="1">
      <c r="B117" s="20" t="s">
        <v>35</v>
      </c>
      <c r="D117" s="34"/>
    </row>
    <row r="118" spans="2:7" s="14" customFormat="1">
      <c r="B118" s="14" t="s">
        <v>36</v>
      </c>
      <c r="D118" s="35"/>
      <c r="G118" s="17"/>
    </row>
    <row r="119" spans="2:7" s="14" customFormat="1">
      <c r="D119" s="28"/>
    </row>
    <row r="120" spans="2:7" s="14" customFormat="1">
      <c r="B120" s="14" t="s">
        <v>307</v>
      </c>
      <c r="D120" s="28">
        <f>SUM('RI - data'!G46+'RI - data'!G49)</f>
        <v>608643.92999999993</v>
      </c>
    </row>
    <row r="121" spans="2:7" s="14" customFormat="1">
      <c r="D121" s="28"/>
    </row>
    <row r="122" spans="2:7" s="14" customFormat="1">
      <c r="D122" s="28"/>
    </row>
    <row r="123" spans="2:7" s="16" customFormat="1">
      <c r="B123" s="16" t="s">
        <v>24</v>
      </c>
      <c r="D123" s="33">
        <f>SUM(D46+D76+D116+D120)</f>
        <v>38249901.259999998</v>
      </c>
      <c r="E123" s="65" t="s">
        <v>240</v>
      </c>
      <c r="F123" s="66"/>
      <c r="G123" s="19"/>
    </row>
    <row r="124" spans="2:7" s="14" customFormat="1">
      <c r="B124" s="14" t="s">
        <v>35</v>
      </c>
      <c r="D124" s="28">
        <f>'RI - data'!G105</f>
        <v>0</v>
      </c>
    </row>
    <row r="125" spans="2:7" s="14" customFormat="1">
      <c r="B125" s="14" t="s">
        <v>36</v>
      </c>
      <c r="D125" s="28">
        <f>SUM(D124-D123)</f>
        <v>-38249901.259999998</v>
      </c>
    </row>
    <row r="126" spans="2:7" s="14" customFormat="1">
      <c r="D126" s="28"/>
    </row>
    <row r="127" spans="2:7" s="11" customFormat="1" ht="14.25" customHeight="1">
      <c r="B127" s="11" t="s">
        <v>70</v>
      </c>
      <c r="D127" s="28"/>
    </row>
    <row r="128" spans="2:7" s="11" customFormat="1" ht="14.25" customHeight="1">
      <c r="B128" s="11" t="s">
        <v>94</v>
      </c>
      <c r="D128" s="28"/>
    </row>
    <row r="129" spans="2:6" s="11" customFormat="1">
      <c r="B129" s="11" t="s">
        <v>95</v>
      </c>
      <c r="D129" s="28"/>
      <c r="F129" s="27"/>
    </row>
    <row r="130" spans="2:6" s="11" customFormat="1">
      <c r="D130" s="28"/>
      <c r="F130" s="27"/>
    </row>
    <row r="131" spans="2:6" s="14" customFormat="1">
      <c r="D131" s="28"/>
      <c r="F131" s="17"/>
    </row>
    <row r="132" spans="2:6" customFormat="1"/>
    <row r="133" spans="2:6" customFormat="1"/>
    <row r="134" spans="2:6" customFormat="1"/>
    <row r="135" spans="2:6" customFormat="1"/>
    <row r="136" spans="2:6" customFormat="1"/>
    <row r="137" spans="2:6" customFormat="1"/>
    <row r="138" spans="2:6" customFormat="1"/>
    <row r="139" spans="2:6" customFormat="1"/>
    <row r="140" spans="2:6" customFormat="1"/>
    <row r="141" spans="2:6" customFormat="1"/>
    <row r="142" spans="2:6" customFormat="1"/>
    <row r="143" spans="2:6" customFormat="1"/>
    <row r="144" spans="2:6" customFormat="1"/>
    <row r="145" spans="4:4" customFormat="1"/>
    <row r="146" spans="4:4" customFormat="1"/>
    <row r="147" spans="4:4" customFormat="1" ht="20.25" customHeight="1"/>
    <row r="148" spans="4:4" customFormat="1"/>
    <row r="149" spans="4:4" customFormat="1"/>
    <row r="150" spans="4:4" customFormat="1" ht="29.25" customHeight="1"/>
    <row r="151" spans="4:4" customFormat="1"/>
    <row r="152" spans="4:4" s="14" customFormat="1">
      <c r="D152" s="28"/>
    </row>
    <row r="153" spans="4:4" s="14" customFormat="1">
      <c r="D153" s="28"/>
    </row>
    <row r="154" spans="4:4" s="14" customFormat="1">
      <c r="D154" s="28"/>
    </row>
    <row r="155" spans="4:4" s="14" customFormat="1">
      <c r="D155" s="28"/>
    </row>
    <row r="156" spans="4:4" s="14" customFormat="1">
      <c r="D156" s="28"/>
    </row>
    <row r="157" spans="4:4" s="14" customFormat="1">
      <c r="D157" s="28"/>
    </row>
    <row r="158" spans="4:4" s="14" customFormat="1">
      <c r="D158" s="28"/>
    </row>
    <row r="159" spans="4:4" s="14" customFormat="1">
      <c r="D159" s="28"/>
    </row>
    <row r="160" spans="4:4" s="14" customFormat="1">
      <c r="D160" s="28"/>
    </row>
    <row r="161" spans="2:4" s="14" customFormat="1">
      <c r="D161" s="28"/>
    </row>
    <row r="162" spans="2:4" s="14" customFormat="1">
      <c r="D162" s="28"/>
    </row>
    <row r="163" spans="2:4" s="14" customFormat="1">
      <c r="D163" s="28"/>
    </row>
    <row r="164" spans="2:4" s="11" customFormat="1">
      <c r="B164" s="14"/>
      <c r="C164" s="14"/>
      <c r="D164" s="28"/>
    </row>
    <row r="165" spans="2:4" s="11" customFormat="1">
      <c r="B165" s="14"/>
      <c r="C165" s="14"/>
      <c r="D165" s="28"/>
    </row>
    <row r="166" spans="2:4" s="11" customFormat="1">
      <c r="B166" s="14"/>
      <c r="C166" s="14"/>
      <c r="D166" s="28"/>
    </row>
    <row r="167" spans="2:4" s="11" customFormat="1">
      <c r="B167" s="14"/>
      <c r="C167" s="14"/>
      <c r="D167" s="28"/>
    </row>
    <row r="168" spans="2:4" s="11" customFormat="1">
      <c r="B168" s="14"/>
      <c r="C168" s="14"/>
      <c r="D168" s="28"/>
    </row>
    <row r="169" spans="2:4" s="11" customFormat="1">
      <c r="B169" s="14"/>
      <c r="C169" s="14"/>
      <c r="D169" s="28"/>
    </row>
    <row r="170" spans="2:4" s="11" customFormat="1">
      <c r="B170" s="14"/>
      <c r="C170" s="14"/>
      <c r="D170" s="28"/>
    </row>
    <row r="171" spans="2:4" s="11" customFormat="1">
      <c r="B171" s="14"/>
      <c r="C171" s="14"/>
      <c r="D171" s="28"/>
    </row>
    <row r="172" spans="2:4" s="11" customFormat="1">
      <c r="B172" s="14"/>
      <c r="C172" s="14"/>
      <c r="D172" s="28"/>
    </row>
    <row r="173" spans="2:4" s="11" customFormat="1">
      <c r="B173" s="14"/>
      <c r="C173" s="14"/>
      <c r="D173" s="28"/>
    </row>
    <row r="174" spans="2:4" s="11" customFormat="1">
      <c r="B174" s="14"/>
      <c r="C174" s="14"/>
      <c r="D174" s="28"/>
    </row>
    <row r="175" spans="2:4" s="11" customFormat="1">
      <c r="B175" s="14"/>
      <c r="C175" s="14"/>
      <c r="D175" s="28"/>
    </row>
    <row r="176" spans="2:4" s="11" customFormat="1">
      <c r="B176" s="14"/>
      <c r="C176" s="14"/>
      <c r="D176" s="28"/>
    </row>
    <row r="177" spans="2:4" s="11" customFormat="1">
      <c r="B177" s="14"/>
      <c r="C177" s="14"/>
      <c r="D177" s="28"/>
    </row>
    <row r="178" spans="2:4" s="11" customFormat="1">
      <c r="B178" s="14"/>
      <c r="C178" s="14"/>
      <c r="D178" s="28"/>
    </row>
    <row r="179" spans="2:4" s="11" customFormat="1">
      <c r="B179" s="14"/>
      <c r="C179" s="14"/>
      <c r="D179" s="28"/>
    </row>
    <row r="180" spans="2:4" s="11" customFormat="1">
      <c r="B180" s="14"/>
      <c r="C180" s="14"/>
      <c r="D180" s="28"/>
    </row>
    <row r="181" spans="2:4" s="11" customFormat="1">
      <c r="B181" s="14"/>
      <c r="C181" s="14"/>
      <c r="D181" s="28"/>
    </row>
    <row r="182" spans="2:4" s="11" customFormat="1">
      <c r="B182" s="14"/>
      <c r="C182" s="14"/>
      <c r="D182" s="28"/>
    </row>
    <row r="183" spans="2:4" s="11" customFormat="1">
      <c r="B183" s="14"/>
      <c r="C183" s="14"/>
      <c r="D183" s="28"/>
    </row>
    <row r="184" spans="2:4" s="11" customFormat="1">
      <c r="B184" s="14"/>
      <c r="C184" s="14"/>
      <c r="D184" s="28"/>
    </row>
    <row r="185" spans="2:4" s="11" customFormat="1">
      <c r="B185" s="14"/>
      <c r="C185" s="14"/>
      <c r="D185" s="28"/>
    </row>
    <row r="186" spans="2:4" s="11" customFormat="1">
      <c r="B186" s="14"/>
      <c r="C186" s="14"/>
      <c r="D186" s="28"/>
    </row>
    <row r="187" spans="2:4" s="11" customFormat="1">
      <c r="B187" s="14"/>
      <c r="C187" s="14"/>
      <c r="D187" s="28"/>
    </row>
    <row r="188" spans="2:4" s="11" customFormat="1">
      <c r="B188" s="14"/>
      <c r="C188" s="14"/>
      <c r="D188" s="28"/>
    </row>
    <row r="189" spans="2:4" s="11" customFormat="1">
      <c r="B189" s="14"/>
      <c r="C189" s="14"/>
      <c r="D189" s="28"/>
    </row>
    <row r="190" spans="2:4" s="11" customFormat="1">
      <c r="B190" s="14"/>
      <c r="C190" s="14"/>
      <c r="D190" s="28"/>
    </row>
    <row r="191" spans="2:4" s="11" customFormat="1">
      <c r="B191" s="14"/>
      <c r="C191" s="14"/>
      <c r="D191" s="28"/>
    </row>
    <row r="192" spans="2:4" s="11" customFormat="1">
      <c r="B192" s="14"/>
      <c r="C192" s="14"/>
      <c r="D192" s="28"/>
    </row>
    <row r="193" spans="2:4" s="11" customFormat="1">
      <c r="B193" s="14"/>
      <c r="C193" s="14"/>
      <c r="D193" s="28"/>
    </row>
    <row r="194" spans="2:4" s="11" customFormat="1">
      <c r="B194" s="14"/>
      <c r="C194" s="14"/>
      <c r="D194" s="28"/>
    </row>
    <row r="195" spans="2:4" s="11" customFormat="1">
      <c r="B195" s="14"/>
      <c r="C195" s="14"/>
      <c r="D195" s="28"/>
    </row>
    <row r="196" spans="2:4" s="11" customFormat="1">
      <c r="B196" s="14"/>
      <c r="C196" s="14"/>
      <c r="D196" s="28"/>
    </row>
    <row r="197" spans="2:4" s="11" customFormat="1">
      <c r="B197" s="14"/>
      <c r="C197" s="14"/>
      <c r="D197" s="28"/>
    </row>
    <row r="198" spans="2:4" s="11" customFormat="1">
      <c r="B198" s="14"/>
      <c r="C198" s="14"/>
      <c r="D198" s="28"/>
    </row>
    <row r="199" spans="2:4" s="11" customFormat="1">
      <c r="B199" s="14"/>
      <c r="C199" s="14"/>
      <c r="D199" s="28"/>
    </row>
    <row r="200" spans="2:4" s="11" customFormat="1">
      <c r="B200" s="14"/>
      <c r="C200" s="14"/>
      <c r="D200" s="28"/>
    </row>
    <row r="201" spans="2:4" s="11" customFormat="1">
      <c r="B201" s="14"/>
      <c r="C201" s="14"/>
      <c r="D201" s="28"/>
    </row>
    <row r="202" spans="2:4" s="11" customFormat="1">
      <c r="B202" s="14"/>
      <c r="C202" s="14"/>
      <c r="D202" s="28"/>
    </row>
    <row r="203" spans="2:4" s="11" customFormat="1">
      <c r="B203" s="14"/>
      <c r="C203" s="14"/>
      <c r="D203" s="28"/>
    </row>
    <row r="204" spans="2:4" s="11" customFormat="1">
      <c r="B204" s="14"/>
      <c r="C204" s="14"/>
      <c r="D204" s="28"/>
    </row>
    <row r="205" spans="2:4" s="11" customFormat="1">
      <c r="B205" s="14"/>
      <c r="C205" s="14"/>
      <c r="D205" s="28"/>
    </row>
    <row r="206" spans="2:4" s="11" customFormat="1">
      <c r="B206" s="14"/>
      <c r="C206" s="14"/>
      <c r="D206" s="28"/>
    </row>
    <row r="207" spans="2:4" s="11" customFormat="1">
      <c r="B207" s="14"/>
      <c r="C207" s="14"/>
      <c r="D207" s="28"/>
    </row>
    <row r="208" spans="2:4" s="11" customFormat="1">
      <c r="B208" s="14"/>
      <c r="C208" s="14"/>
      <c r="D208" s="28"/>
    </row>
    <row r="209" spans="2:4" s="11" customFormat="1">
      <c r="B209" s="14"/>
      <c r="C209" s="14"/>
      <c r="D209" s="28"/>
    </row>
    <row r="210" spans="2:4" s="11" customFormat="1">
      <c r="B210" s="14"/>
      <c r="C210" s="14"/>
      <c r="D210" s="28"/>
    </row>
    <row r="211" spans="2:4" s="11" customFormat="1">
      <c r="B211" s="14"/>
      <c r="C211" s="14"/>
      <c r="D211" s="28"/>
    </row>
    <row r="212" spans="2:4" s="11" customFormat="1">
      <c r="B212" s="14"/>
      <c r="C212" s="14"/>
      <c r="D212" s="28"/>
    </row>
    <row r="213" spans="2:4" s="11" customFormat="1">
      <c r="B213" s="14"/>
      <c r="C213" s="14"/>
      <c r="D213" s="28"/>
    </row>
    <row r="214" spans="2:4" s="11" customFormat="1">
      <c r="B214" s="14"/>
      <c r="C214" s="14"/>
      <c r="D214" s="28"/>
    </row>
    <row r="215" spans="2:4" s="11" customFormat="1">
      <c r="B215" s="14"/>
      <c r="C215" s="14"/>
      <c r="D215" s="28"/>
    </row>
    <row r="216" spans="2:4" s="11" customFormat="1">
      <c r="B216" s="14"/>
      <c r="C216" s="14"/>
      <c r="D216" s="28"/>
    </row>
    <row r="217" spans="2:4" s="11" customFormat="1">
      <c r="B217" s="14"/>
      <c r="C217" s="14"/>
      <c r="D217" s="28"/>
    </row>
    <row r="218" spans="2:4" s="11" customFormat="1">
      <c r="B218" s="14"/>
      <c r="C218" s="14"/>
      <c r="D218" s="28"/>
    </row>
    <row r="219" spans="2:4" s="11" customFormat="1">
      <c r="B219" s="14"/>
      <c r="C219" s="14"/>
      <c r="D219" s="28"/>
    </row>
    <row r="220" spans="2:4" s="11" customFormat="1">
      <c r="B220" s="14"/>
      <c r="C220" s="14"/>
      <c r="D220" s="28"/>
    </row>
    <row r="221" spans="2:4" s="11" customFormat="1">
      <c r="B221" s="14"/>
      <c r="C221" s="14"/>
      <c r="D221" s="28"/>
    </row>
    <row r="222" spans="2:4" s="11" customFormat="1">
      <c r="B222" s="14"/>
      <c r="C222" s="14"/>
      <c r="D222" s="28"/>
    </row>
    <row r="223" spans="2:4" s="11" customFormat="1">
      <c r="B223" s="14"/>
      <c r="C223" s="14"/>
      <c r="D223" s="28"/>
    </row>
    <row r="224" spans="2:4" s="11" customFormat="1">
      <c r="B224" s="14"/>
      <c r="C224" s="14"/>
      <c r="D224" s="28"/>
    </row>
    <row r="225" spans="2:4" s="11" customFormat="1">
      <c r="B225" s="14"/>
      <c r="C225" s="14"/>
      <c r="D225" s="28"/>
    </row>
    <row r="226" spans="2:4" s="11" customFormat="1">
      <c r="B226" s="14"/>
      <c r="C226" s="14"/>
      <c r="D226" s="28"/>
    </row>
    <row r="227" spans="2:4" s="11" customFormat="1">
      <c r="B227" s="14"/>
      <c r="C227" s="14"/>
      <c r="D227" s="28"/>
    </row>
    <row r="228" spans="2:4" s="11" customFormat="1">
      <c r="B228" s="14"/>
      <c r="C228" s="14"/>
      <c r="D228" s="28"/>
    </row>
    <row r="229" spans="2:4" s="11" customFormat="1">
      <c r="B229" s="14"/>
      <c r="C229" s="14"/>
      <c r="D229" s="28"/>
    </row>
    <row r="230" spans="2:4" s="11" customFormat="1">
      <c r="B230" s="14"/>
      <c r="C230" s="14"/>
      <c r="D230" s="28"/>
    </row>
    <row r="231" spans="2:4" s="11" customFormat="1">
      <c r="B231" s="14"/>
      <c r="C231" s="14"/>
      <c r="D231" s="28"/>
    </row>
    <row r="232" spans="2:4" s="11" customFormat="1">
      <c r="B232" s="14"/>
      <c r="C232" s="14"/>
      <c r="D232" s="28"/>
    </row>
    <row r="233" spans="2:4" s="11" customFormat="1">
      <c r="B233" s="14"/>
      <c r="C233" s="14"/>
      <c r="D233" s="28"/>
    </row>
    <row r="234" spans="2:4" s="11" customFormat="1">
      <c r="B234" s="14"/>
      <c r="C234" s="14"/>
      <c r="D234" s="28"/>
    </row>
    <row r="235" spans="2:4" s="11" customFormat="1">
      <c r="B235" s="14"/>
      <c r="C235" s="14"/>
      <c r="D235" s="28"/>
    </row>
    <row r="236" spans="2:4" s="11" customFormat="1">
      <c r="B236" s="14"/>
      <c r="C236" s="14"/>
      <c r="D236" s="28"/>
    </row>
    <row r="237" spans="2:4" s="11" customFormat="1">
      <c r="B237" s="14"/>
      <c r="C237" s="14"/>
      <c r="D237" s="28"/>
    </row>
    <row r="238" spans="2:4" s="11" customFormat="1">
      <c r="B238" s="14"/>
      <c r="C238" s="14"/>
      <c r="D238" s="28"/>
    </row>
    <row r="239" spans="2:4" s="11" customFormat="1">
      <c r="B239" s="14"/>
      <c r="C239" s="14"/>
      <c r="D239" s="28"/>
    </row>
    <row r="240" spans="2:4" s="11" customFormat="1">
      <c r="B240" s="14"/>
      <c r="C240" s="14"/>
      <c r="D240" s="28"/>
    </row>
    <row r="241" spans="2:4" s="11" customFormat="1">
      <c r="B241" s="14"/>
      <c r="C241" s="14"/>
      <c r="D241" s="28"/>
    </row>
    <row r="242" spans="2:4" s="11" customFormat="1">
      <c r="B242" s="14"/>
      <c r="C242" s="14"/>
      <c r="D242" s="28"/>
    </row>
    <row r="243" spans="2:4" s="11" customFormat="1">
      <c r="B243" s="14"/>
      <c r="C243" s="14"/>
      <c r="D243" s="28"/>
    </row>
    <row r="244" spans="2:4" s="11" customFormat="1">
      <c r="B244" s="14"/>
      <c r="C244" s="14"/>
      <c r="D244" s="28"/>
    </row>
    <row r="245" spans="2:4" s="11" customFormat="1">
      <c r="B245" s="14"/>
      <c r="C245" s="14"/>
      <c r="D245" s="28"/>
    </row>
    <row r="246" spans="2:4" s="11" customFormat="1">
      <c r="B246" s="14"/>
      <c r="C246" s="14"/>
      <c r="D246" s="28"/>
    </row>
    <row r="247" spans="2:4" s="11" customFormat="1">
      <c r="B247" s="14"/>
      <c r="C247" s="14"/>
      <c r="D247" s="28"/>
    </row>
    <row r="248" spans="2:4" s="11" customFormat="1">
      <c r="B248" s="14"/>
      <c r="C248" s="14"/>
      <c r="D248" s="28"/>
    </row>
    <row r="249" spans="2:4" s="11" customFormat="1">
      <c r="B249" s="14"/>
      <c r="C249" s="14"/>
      <c r="D249" s="28"/>
    </row>
    <row r="250" spans="2:4" s="11" customFormat="1">
      <c r="B250" s="14"/>
      <c r="C250" s="14"/>
      <c r="D250" s="28"/>
    </row>
    <row r="251" spans="2:4" s="11" customFormat="1">
      <c r="B251" s="14"/>
      <c r="C251" s="14"/>
      <c r="D251" s="28"/>
    </row>
    <row r="252" spans="2:4" s="11" customFormat="1">
      <c r="B252" s="14"/>
      <c r="C252" s="14"/>
      <c r="D252" s="28"/>
    </row>
    <row r="253" spans="2:4" s="11" customFormat="1">
      <c r="B253" s="14"/>
      <c r="C253" s="14"/>
      <c r="D253" s="28"/>
    </row>
    <row r="254" spans="2:4" s="11" customFormat="1">
      <c r="B254" s="14"/>
      <c r="C254" s="14"/>
      <c r="D254" s="28"/>
    </row>
    <row r="255" spans="2:4" s="11" customFormat="1">
      <c r="B255" s="14"/>
      <c r="C255" s="14"/>
      <c r="D255" s="28"/>
    </row>
  </sheetData>
  <mergeCells count="5">
    <mergeCell ref="F96:G113"/>
    <mergeCell ref="C3:C4"/>
    <mergeCell ref="F5:L5"/>
    <mergeCell ref="F51:L51"/>
    <mergeCell ref="F81:L81"/>
  </mergeCells>
  <pageMargins left="0.7" right="0.7" top="0.75" bottom="0.75" header="0.3" footer="0.3"/>
  <pageSetup paperSize="8" scale="7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66DB-B847-492C-904C-7903C6835B4E}">
  <dimension ref="A1:Q140"/>
  <sheetViews>
    <sheetView tabSelected="1" topLeftCell="B1" zoomScaleNormal="100" workbookViewId="0">
      <selection activeCell="M59" sqref="M59"/>
    </sheetView>
  </sheetViews>
  <sheetFormatPr defaultRowHeight="12.75"/>
  <cols>
    <col min="1" max="1" width="23.625" style="14" hidden="1" customWidth="1"/>
    <col min="2" max="2" width="38.375" style="14" customWidth="1"/>
    <col min="3" max="3" width="13" style="14" hidden="1" customWidth="1"/>
    <col min="4" max="4" width="13.125" style="28" customWidth="1"/>
    <col min="5" max="5" width="13.125" style="153" customWidth="1"/>
    <col min="6" max="6" width="13.125" style="11" customWidth="1"/>
    <col min="7" max="7" width="11" style="11" customWidth="1"/>
    <col min="8" max="8" width="14.625" style="28" customWidth="1"/>
    <col min="9" max="9" width="12.125" style="11" customWidth="1"/>
    <col min="10" max="10" width="1.125" style="14" customWidth="1"/>
    <col min="11" max="11" width="12.125" style="74" customWidth="1"/>
    <col min="12" max="12" width="12.25" style="74" customWidth="1"/>
    <col min="13" max="13" width="12.875" style="74" customWidth="1"/>
    <col min="14" max="14" width="10.125" style="74" bestFit="1" customWidth="1"/>
    <col min="15" max="15" width="9" style="74"/>
    <col min="16" max="16" width="12.125" style="74" bestFit="1" customWidth="1"/>
    <col min="17" max="17" width="9" style="74"/>
    <col min="18" max="16384" width="9" style="14"/>
  </cols>
  <sheetData>
    <row r="1" spans="1:15" ht="18">
      <c r="B1" s="15" t="s">
        <v>4</v>
      </c>
      <c r="C1" s="15"/>
      <c r="L1" s="151"/>
      <c r="M1" s="151"/>
      <c r="N1" s="151"/>
      <c r="O1" s="151"/>
    </row>
    <row r="2" spans="1:15" customFormat="1">
      <c r="E2" s="152"/>
      <c r="L2" s="11"/>
      <c r="M2" s="11"/>
      <c r="N2" s="11"/>
      <c r="O2" s="11"/>
    </row>
    <row r="3" spans="1:15" ht="12.75" customHeight="1">
      <c r="B3" s="14" t="s">
        <v>65</v>
      </c>
      <c r="C3" s="228" t="s">
        <v>191</v>
      </c>
      <c r="D3" s="42">
        <v>44957</v>
      </c>
      <c r="G3" s="62">
        <v>0.41399999999999998</v>
      </c>
      <c r="I3" s="46"/>
      <c r="L3" s="151"/>
      <c r="M3" s="151"/>
      <c r="N3" s="151"/>
      <c r="O3" s="151"/>
    </row>
    <row r="4" spans="1:15" ht="38.25">
      <c r="B4" s="16" t="s">
        <v>30</v>
      </c>
      <c r="C4" s="228"/>
      <c r="D4" s="31" t="s">
        <v>45</v>
      </c>
      <c r="E4" s="154" t="s">
        <v>290</v>
      </c>
      <c r="F4" s="23" t="s">
        <v>47</v>
      </c>
      <c r="G4" s="23" t="s">
        <v>49</v>
      </c>
      <c r="H4" s="47" t="s">
        <v>48</v>
      </c>
      <c r="I4" s="48" t="s">
        <v>193</v>
      </c>
      <c r="K4" s="75" t="s">
        <v>232</v>
      </c>
      <c r="L4" s="151"/>
      <c r="M4" s="151"/>
      <c r="N4" s="151"/>
      <c r="O4" s="151"/>
    </row>
    <row r="5" spans="1:15">
      <c r="L5" s="151"/>
      <c r="M5" s="151"/>
      <c r="N5" s="151"/>
      <c r="O5" s="151"/>
    </row>
    <row r="6" spans="1:15">
      <c r="A6" s="30">
        <v>1100006800</v>
      </c>
      <c r="B6" s="14" t="s">
        <v>322</v>
      </c>
      <c r="D6" s="28">
        <f>'Total hjælpeark'!D11+'Total hjælpeark'!D16</f>
        <v>13268346.450000001</v>
      </c>
      <c r="E6" s="155">
        <v>34621121</v>
      </c>
      <c r="F6" s="27">
        <f>SUM(E6-D6)</f>
        <v>21352774.549999997</v>
      </c>
      <c r="G6" s="49">
        <f>SUM(D6/E6)</f>
        <v>0.38324427594357796</v>
      </c>
      <c r="H6" s="26">
        <v>27778791</v>
      </c>
      <c r="I6" s="49">
        <f>SUM(H6/E6)</f>
        <v>0.80236544044890978</v>
      </c>
      <c r="K6" s="74" t="s">
        <v>291</v>
      </c>
      <c r="L6" s="151"/>
      <c r="M6" s="151"/>
      <c r="N6" s="151"/>
      <c r="O6" s="151"/>
    </row>
    <row r="7" spans="1:15">
      <c r="A7" s="30"/>
      <c r="B7" s="14" t="s">
        <v>284</v>
      </c>
      <c r="E7" s="155">
        <v>96532</v>
      </c>
      <c r="F7" s="27">
        <f>SUM(E7-D7)</f>
        <v>96532</v>
      </c>
      <c r="G7" s="49"/>
      <c r="H7" s="26">
        <v>96532</v>
      </c>
      <c r="I7" s="49">
        <f>SUM(H7/E7)</f>
        <v>1</v>
      </c>
      <c r="L7" s="151"/>
      <c r="M7" s="151"/>
      <c r="N7" s="151"/>
      <c r="O7" s="11"/>
    </row>
    <row r="8" spans="1:15">
      <c r="A8" s="14">
        <v>1100006801</v>
      </c>
      <c r="B8" s="14" t="s">
        <v>55</v>
      </c>
      <c r="D8" s="28">
        <f>SUM('Total hjælpeark'!D15)</f>
        <v>648584.35</v>
      </c>
      <c r="E8" s="155">
        <v>1398817</v>
      </c>
      <c r="F8" s="27">
        <f>SUM(E8-D8)</f>
        <v>750232.65</v>
      </c>
      <c r="G8" s="49">
        <f>SUM(D8/E8)</f>
        <v>0.46366633376631822</v>
      </c>
      <c r="H8" s="26">
        <v>1400000</v>
      </c>
      <c r="I8" s="49">
        <f>SUM(H8/E8)</f>
        <v>1.0008457146288614</v>
      </c>
      <c r="K8" s="76">
        <f>'Total hjælpeark'!D7</f>
        <v>91393</v>
      </c>
      <c r="L8" s="151" t="s">
        <v>302</v>
      </c>
      <c r="M8" s="151"/>
      <c r="N8" s="151"/>
      <c r="O8" s="11"/>
    </row>
    <row r="9" spans="1:15">
      <c r="B9" s="21"/>
      <c r="C9" s="21"/>
      <c r="E9" s="155"/>
      <c r="F9" s="27"/>
      <c r="G9" s="49"/>
      <c r="H9" s="26"/>
      <c r="I9" s="50"/>
      <c r="L9" s="151"/>
      <c r="M9" s="151"/>
      <c r="N9" s="151"/>
      <c r="O9" s="11"/>
    </row>
    <row r="10" spans="1:15">
      <c r="A10" s="14">
        <v>1100006903</v>
      </c>
      <c r="B10" s="14" t="s">
        <v>43</v>
      </c>
      <c r="D10" s="28">
        <f>IFERROR(VLOOKUP(A10,'RI - data'!D$43:G$91,4,FALSE),0)</f>
        <v>2195628.38</v>
      </c>
      <c r="E10" s="156">
        <v>3168182</v>
      </c>
      <c r="F10" s="27">
        <f>SUM(E10-D10)</f>
        <v>972553.62000000011</v>
      </c>
      <c r="G10" s="49">
        <f>SUM(D10/E10)</f>
        <v>0.69302469996988803</v>
      </c>
      <c r="H10" s="179">
        <v>4342339</v>
      </c>
      <c r="I10" s="49">
        <f>SUM(H10/E10)</f>
        <v>1.370609074857442</v>
      </c>
      <c r="K10" s="74" t="s">
        <v>292</v>
      </c>
      <c r="L10" s="151"/>
      <c r="M10" s="151"/>
      <c r="N10" s="151"/>
      <c r="O10" s="11"/>
    </row>
    <row r="11" spans="1:15" hidden="1">
      <c r="A11" s="14">
        <v>1100006805</v>
      </c>
      <c r="B11" s="14" t="s">
        <v>64</v>
      </c>
      <c r="C11" s="8">
        <f>IFERROR(VLOOKUP(A11,'RI - data'!D$43:G$91,4,FALSE),0)</f>
        <v>0</v>
      </c>
      <c r="D11" s="11"/>
      <c r="E11" s="152"/>
      <c r="F11" s="27"/>
      <c r="G11" s="49" t="e">
        <f>SUM(D11/#REF!)</f>
        <v>#REF!</v>
      </c>
      <c r="H11" s="14"/>
      <c r="I11" s="50"/>
      <c r="L11" s="151"/>
      <c r="M11" s="151"/>
      <c r="N11" s="151"/>
      <c r="O11" s="151"/>
    </row>
    <row r="12" spans="1:15" hidden="1">
      <c r="A12" s="14">
        <v>1100014100</v>
      </c>
      <c r="B12" s="14" t="s">
        <v>155</v>
      </c>
      <c r="C12" s="8">
        <f>IFERROR(VLOOKUP(A12,'RI - data'!D$43:G$91,4,FALSE),0)</f>
        <v>0</v>
      </c>
      <c r="D12" s="11"/>
      <c r="E12" s="157"/>
      <c r="F12" s="27"/>
      <c r="G12" s="49" t="e">
        <f>SUM(D12/#REF!)</f>
        <v>#REF!</v>
      </c>
      <c r="H12" s="36"/>
      <c r="I12" s="50"/>
      <c r="L12" s="151"/>
      <c r="M12" s="151"/>
      <c r="N12" s="151"/>
      <c r="O12" s="151"/>
    </row>
    <row r="13" spans="1:15" hidden="1">
      <c r="A13" s="14">
        <v>1100014200</v>
      </c>
      <c r="B13" s="14" t="s">
        <v>156</v>
      </c>
      <c r="C13" s="8">
        <f>IFERROR(VLOOKUP(A13,'RI - data'!D$43:G$91,4,FALSE),0)</f>
        <v>0</v>
      </c>
      <c r="D13" s="11"/>
      <c r="E13" s="157"/>
      <c r="F13" s="27"/>
      <c r="G13" s="49" t="e">
        <f>SUM(D13/#REF!)</f>
        <v>#REF!</v>
      </c>
      <c r="H13" s="36"/>
      <c r="I13" s="50"/>
      <c r="L13" s="151"/>
      <c r="M13" s="151"/>
      <c r="N13" s="151"/>
      <c r="O13" s="151"/>
    </row>
    <row r="14" spans="1:15" hidden="1">
      <c r="A14" s="14">
        <v>1100014300</v>
      </c>
      <c r="B14" s="14" t="s">
        <v>157</v>
      </c>
      <c r="C14" s="8">
        <f>IFERROR(VLOOKUP(A14,'RI - data'!D$43:G$91,4,FALSE),0)</f>
        <v>0</v>
      </c>
      <c r="D14" s="11"/>
      <c r="E14" s="157"/>
      <c r="F14" s="27"/>
      <c r="G14" s="49" t="e">
        <f>SUM(D14/#REF!)</f>
        <v>#REF!</v>
      </c>
      <c r="H14" s="36"/>
      <c r="I14" s="50"/>
      <c r="L14" s="151"/>
      <c r="M14" s="151"/>
      <c r="N14" s="151"/>
      <c r="O14" s="151"/>
    </row>
    <row r="15" spans="1:15">
      <c r="L15" s="151"/>
      <c r="M15" s="151"/>
      <c r="N15" s="151"/>
      <c r="O15" s="151"/>
    </row>
    <row r="16" spans="1:15" hidden="1">
      <c r="A16" s="14" t="s">
        <v>161</v>
      </c>
      <c r="B16" s="14" t="s">
        <v>159</v>
      </c>
      <c r="C16" s="8">
        <f>IFERROR(VLOOKUP(A16,'RI - data'!B$43:G$91,6,FALSE),0)-C22</f>
        <v>185010.84</v>
      </c>
      <c r="D16" s="11"/>
      <c r="E16" s="152"/>
      <c r="F16" s="27"/>
      <c r="G16" s="49"/>
      <c r="H16" s="14"/>
      <c r="L16" s="151"/>
      <c r="M16" s="151"/>
      <c r="N16" s="151"/>
      <c r="O16" s="151"/>
    </row>
    <row r="17" spans="1:15" hidden="1">
      <c r="A17" s="14" t="s">
        <v>162</v>
      </c>
      <c r="B17" s="14" t="s">
        <v>160</v>
      </c>
      <c r="C17" s="8">
        <f>IFERROR(VLOOKUP(A17,'RI - data'!B$43:G$91,6,FALSE),0)-C23</f>
        <v>108249.1</v>
      </c>
      <c r="D17" s="11"/>
      <c r="E17" s="158"/>
      <c r="F17" s="27"/>
      <c r="G17" s="49"/>
      <c r="H17" s="40"/>
      <c r="I17" s="50"/>
      <c r="L17" s="151"/>
      <c r="M17" s="151"/>
      <c r="N17" s="151"/>
      <c r="O17" s="151"/>
    </row>
    <row r="18" spans="1:15">
      <c r="B18" s="14" t="s">
        <v>220</v>
      </c>
      <c r="D18" s="28">
        <f>'Total hjælpeark'!D31</f>
        <v>175220</v>
      </c>
      <c r="E18" s="155">
        <v>488425</v>
      </c>
      <c r="F18" s="27">
        <f>SUM(E18-D18)</f>
        <v>313205</v>
      </c>
      <c r="G18" s="49">
        <f>SUM(D18/E18)</f>
        <v>0.35874494548804831</v>
      </c>
      <c r="H18" s="13">
        <v>486826</v>
      </c>
      <c r="I18" s="49">
        <f>SUM(H18/E18)</f>
        <v>0.99672621180324517</v>
      </c>
      <c r="K18" s="61"/>
      <c r="L18" s="151"/>
      <c r="M18" s="151"/>
      <c r="N18" s="151"/>
      <c r="O18" s="151"/>
    </row>
    <row r="19" spans="1:15">
      <c r="C19" s="8"/>
      <c r="D19" s="11"/>
      <c r="E19" s="158"/>
      <c r="F19" s="27"/>
      <c r="G19" s="49"/>
      <c r="H19" s="40"/>
      <c r="I19" s="50"/>
      <c r="L19" s="137"/>
      <c r="M19" s="151"/>
      <c r="N19" s="151"/>
      <c r="O19" s="151"/>
    </row>
    <row r="20" spans="1:15">
      <c r="B20" s="14" t="s">
        <v>219</v>
      </c>
      <c r="D20" s="180">
        <f>'Total hjælpeark'!D27</f>
        <v>119507.94</v>
      </c>
      <c r="E20" s="188">
        <v>125000</v>
      </c>
      <c r="F20" s="27">
        <f t="shared" ref="F20:F30" si="0">SUM(E20-D20)</f>
        <v>5492.0599999999977</v>
      </c>
      <c r="G20" s="49">
        <f t="shared" ref="G20:G30" si="1">SUM(D20/E20)</f>
        <v>0.95606352000000006</v>
      </c>
      <c r="H20" s="189">
        <v>125000</v>
      </c>
      <c r="I20" s="49">
        <f>SUM(H20/E20)</f>
        <v>1</v>
      </c>
      <c r="K20" s="61"/>
      <c r="L20" s="26"/>
      <c r="M20" s="151"/>
      <c r="N20" s="151"/>
      <c r="O20" s="151"/>
    </row>
    <row r="21" spans="1:15">
      <c r="D21" s="180"/>
      <c r="E21" s="188"/>
      <c r="F21" s="27">
        <f t="shared" si="0"/>
        <v>0</v>
      </c>
      <c r="G21" s="49"/>
      <c r="H21" s="190"/>
      <c r="I21" s="192"/>
      <c r="L21" s="26"/>
      <c r="M21" s="151"/>
      <c r="N21" s="151"/>
      <c r="O21" s="151"/>
    </row>
    <row r="22" spans="1:15" ht="12.75" hidden="1" customHeight="1">
      <c r="A22" s="14" t="s">
        <v>194</v>
      </c>
      <c r="B22" s="14" t="s">
        <v>198</v>
      </c>
      <c r="C22" s="14">
        <v>1468</v>
      </c>
      <c r="D22" s="180"/>
      <c r="E22" s="188"/>
      <c r="F22" s="27">
        <f t="shared" si="0"/>
        <v>0</v>
      </c>
      <c r="G22" s="49" t="e">
        <f t="shared" si="1"/>
        <v>#DIV/0!</v>
      </c>
      <c r="H22" s="21"/>
      <c r="I22" s="192"/>
      <c r="L22" s="26"/>
      <c r="M22" s="151"/>
      <c r="N22" s="151"/>
      <c r="O22" s="151"/>
    </row>
    <row r="23" spans="1:15" ht="12.75" hidden="1" customHeight="1">
      <c r="A23" s="14" t="s">
        <v>195</v>
      </c>
      <c r="B23" s="14" t="s">
        <v>196</v>
      </c>
      <c r="D23" s="180"/>
      <c r="E23" s="188"/>
      <c r="F23" s="27">
        <f t="shared" si="0"/>
        <v>0</v>
      </c>
      <c r="G23" s="49" t="e">
        <f t="shared" si="1"/>
        <v>#DIV/0!</v>
      </c>
      <c r="H23" s="21"/>
      <c r="I23" s="192"/>
      <c r="L23" s="11"/>
      <c r="M23" s="151"/>
      <c r="N23" s="151"/>
      <c r="O23" s="151"/>
    </row>
    <row r="24" spans="1:15">
      <c r="A24" s="14" t="s">
        <v>163</v>
      </c>
      <c r="B24" s="14" t="s">
        <v>69</v>
      </c>
      <c r="D24" s="180">
        <f>'Total hjælpeark'!D35</f>
        <v>690584.15</v>
      </c>
      <c r="E24" s="188">
        <v>1418238</v>
      </c>
      <c r="F24" s="27">
        <f t="shared" si="0"/>
        <v>727653.85</v>
      </c>
      <c r="G24" s="49">
        <f t="shared" si="1"/>
        <v>0.48693107221778009</v>
      </c>
      <c r="H24" s="190">
        <v>1418238</v>
      </c>
      <c r="I24" s="49">
        <f>SUM(H24/E24)</f>
        <v>1</v>
      </c>
      <c r="L24" s="26"/>
      <c r="M24" s="151"/>
      <c r="N24" s="151"/>
      <c r="O24" s="151"/>
    </row>
    <row r="25" spans="1:15">
      <c r="D25" s="180"/>
      <c r="E25" s="188"/>
      <c r="F25" s="27">
        <f t="shared" si="0"/>
        <v>0</v>
      </c>
      <c r="G25" s="49"/>
      <c r="H25" s="190"/>
      <c r="I25" s="192"/>
      <c r="L25" s="26"/>
      <c r="M25" s="151"/>
      <c r="N25" s="151"/>
      <c r="O25" s="151"/>
    </row>
    <row r="26" spans="1:15" ht="12.75" hidden="1" customHeight="1">
      <c r="A26" s="14" t="s">
        <v>166</v>
      </c>
      <c r="B26" s="14" t="s">
        <v>168</v>
      </c>
      <c r="C26" s="8">
        <f>IFERROR(VLOOKUP(A26,'RI - data'!B$43:G$91,6,FALSE),0)</f>
        <v>82040.63</v>
      </c>
      <c r="D26" s="191"/>
      <c r="E26" s="188"/>
      <c r="F26" s="27">
        <f t="shared" si="0"/>
        <v>0</v>
      </c>
      <c r="G26" s="49" t="e">
        <f t="shared" si="1"/>
        <v>#DIV/0!</v>
      </c>
      <c r="H26" s="21"/>
      <c r="I26" s="192"/>
      <c r="L26" s="26"/>
      <c r="M26" s="151"/>
      <c r="N26" s="151"/>
      <c r="O26" s="151"/>
    </row>
    <row r="27" spans="1:15" ht="12.75" hidden="1" customHeight="1">
      <c r="A27" s="14" t="s">
        <v>189</v>
      </c>
      <c r="B27" s="14" t="s">
        <v>167</v>
      </c>
      <c r="C27" s="8">
        <f>IFERROR(VLOOKUP(A27,'RI - data'!B$43:G$91,6,FALSE),0)</f>
        <v>100622.54</v>
      </c>
      <c r="D27" s="191"/>
      <c r="E27" s="188"/>
      <c r="F27" s="27">
        <f t="shared" si="0"/>
        <v>0</v>
      </c>
      <c r="G27" s="49" t="e">
        <f t="shared" si="1"/>
        <v>#DIV/0!</v>
      </c>
      <c r="H27" s="190"/>
      <c r="I27" s="192"/>
      <c r="L27" s="26"/>
      <c r="M27" s="151"/>
      <c r="N27" s="151"/>
      <c r="O27" s="151"/>
    </row>
    <row r="28" spans="1:15">
      <c r="B28" s="14" t="s">
        <v>222</v>
      </c>
      <c r="D28" s="180">
        <f>'Total hjælpeark'!D40</f>
        <v>182663.16999999998</v>
      </c>
      <c r="E28" s="188">
        <v>350000</v>
      </c>
      <c r="F28" s="27">
        <f t="shared" si="0"/>
        <v>167336.83000000002</v>
      </c>
      <c r="G28" s="49">
        <f t="shared" si="1"/>
        <v>0.52189477142857144</v>
      </c>
      <c r="H28" s="190">
        <v>350000</v>
      </c>
      <c r="I28" s="49">
        <f>SUM(H28/E28)</f>
        <v>1</v>
      </c>
      <c r="L28" s="26"/>
      <c r="M28" s="151"/>
      <c r="N28" s="151"/>
      <c r="O28" s="151"/>
    </row>
    <row r="29" spans="1:15">
      <c r="D29" s="180"/>
      <c r="E29" s="188"/>
      <c r="F29" s="27">
        <f t="shared" si="0"/>
        <v>0</v>
      </c>
      <c r="G29" s="49"/>
      <c r="H29" s="190"/>
      <c r="I29" s="192"/>
      <c r="L29" s="26"/>
      <c r="M29" s="151"/>
      <c r="N29" s="151"/>
      <c r="O29" s="151"/>
    </row>
    <row r="30" spans="1:15">
      <c r="A30" s="14" t="s">
        <v>164</v>
      </c>
      <c r="B30" s="14" t="s">
        <v>25</v>
      </c>
      <c r="D30" s="180">
        <f>IFERROR(VLOOKUP(A30,'RI - data'!B$43:G$91,6,FALSE),0)</f>
        <v>215412.13</v>
      </c>
      <c r="E30" s="188">
        <v>390000</v>
      </c>
      <c r="F30" s="27">
        <f t="shared" si="0"/>
        <v>174587.87</v>
      </c>
      <c r="G30" s="49">
        <f t="shared" si="1"/>
        <v>0.55233879487179494</v>
      </c>
      <c r="H30" s="190">
        <v>390000</v>
      </c>
      <c r="I30" s="49">
        <f>SUM(H30/E30)</f>
        <v>1</v>
      </c>
      <c r="K30" s="74" t="s">
        <v>301</v>
      </c>
      <c r="L30" s="181"/>
      <c r="M30" s="80"/>
      <c r="N30" s="181"/>
      <c r="O30" s="151"/>
    </row>
    <row r="31" spans="1:15">
      <c r="E31" s="155"/>
      <c r="F31" s="27"/>
      <c r="G31" s="49"/>
      <c r="H31" s="13"/>
      <c r="I31" s="50"/>
      <c r="L31" s="151"/>
      <c r="M31" s="151"/>
      <c r="O31" s="80"/>
    </row>
    <row r="32" spans="1:15">
      <c r="B32" s="14" t="s">
        <v>286</v>
      </c>
      <c r="D32" s="28">
        <f>'Total hjælpeark'!D23</f>
        <v>832693.88</v>
      </c>
      <c r="E32" s="155">
        <v>1903719</v>
      </c>
      <c r="F32" s="27">
        <f>SUM(E32-D32)</f>
        <v>1071025.1200000001</v>
      </c>
      <c r="G32" s="49">
        <f>SUM(D32/E32)</f>
        <v>0.43740377650272966</v>
      </c>
      <c r="H32" s="13">
        <v>1963560</v>
      </c>
      <c r="I32" s="49">
        <f>SUM(H32/E32)</f>
        <v>1.0314337357561698</v>
      </c>
      <c r="K32" s="74" t="s">
        <v>260</v>
      </c>
      <c r="L32" s="151"/>
      <c r="M32" s="151"/>
      <c r="O32" s="151"/>
    </row>
    <row r="33" spans="1:17">
      <c r="A33" s="14" t="s">
        <v>165</v>
      </c>
      <c r="B33" s="14" t="s">
        <v>33</v>
      </c>
      <c r="D33" s="28">
        <f>IFERROR(VLOOKUP(A33,'RI - data'!B$43:G$91,6,FALSE),0)</f>
        <v>1220476.05</v>
      </c>
      <c r="E33" s="155">
        <f>3434594+422000</f>
        <v>3856594</v>
      </c>
      <c r="F33" s="27">
        <f>SUM(E33-D33)</f>
        <v>2636117.9500000002</v>
      </c>
      <c r="G33" s="49">
        <f>SUM(D33/E33)</f>
        <v>0.31646474842827638</v>
      </c>
      <c r="H33" s="13">
        <v>3834793</v>
      </c>
      <c r="I33" s="49">
        <f>SUM(H33/E33)</f>
        <v>0.99434708449994991</v>
      </c>
      <c r="K33" s="74" t="s">
        <v>285</v>
      </c>
      <c r="L33" s="151"/>
      <c r="M33" s="151"/>
      <c r="O33" s="151"/>
    </row>
    <row r="34" spans="1:17">
      <c r="E34" s="155"/>
      <c r="F34" s="27"/>
      <c r="G34" s="51"/>
      <c r="H34" s="13"/>
      <c r="I34" s="50"/>
      <c r="L34" s="151"/>
      <c r="M34" s="151"/>
      <c r="O34" s="80"/>
    </row>
    <row r="35" spans="1:17" s="16" customFormat="1">
      <c r="B35" s="16" t="s">
        <v>287</v>
      </c>
      <c r="D35" s="32">
        <f>SUM(D6:D33)</f>
        <v>19549116.5</v>
      </c>
      <c r="E35" s="160">
        <f>SUM(E6:E33)</f>
        <v>47816628</v>
      </c>
      <c r="F35" s="32">
        <f>SUM(F6:F33)</f>
        <v>28267511.499999996</v>
      </c>
      <c r="G35" s="49">
        <f>SUM(D35/E35)</f>
        <v>0.40883511275617346</v>
      </c>
      <c r="H35" s="22">
        <f>SUM(H6:H34)</f>
        <v>42186079</v>
      </c>
      <c r="I35" s="49">
        <f>SUM(H35/E35)</f>
        <v>0.88224705012657945</v>
      </c>
      <c r="K35" s="75"/>
      <c r="L35" s="80"/>
      <c r="M35" s="151"/>
      <c r="N35" s="80"/>
      <c r="O35" s="151"/>
      <c r="P35" s="75"/>
      <c r="Q35" s="75"/>
    </row>
    <row r="36" spans="1:17" s="20" customFormat="1">
      <c r="B36" s="20" t="s">
        <v>99</v>
      </c>
      <c r="D36" s="34">
        <f>'RI - data'!G61+'RI - data'!G64+'RI - data'!G100+'RI - data'!G103+'RI - data'!G106+202370-32725-D94</f>
        <v>19549116.5</v>
      </c>
      <c r="E36" s="161"/>
      <c r="F36" s="138"/>
      <c r="G36" s="52"/>
      <c r="H36" s="41"/>
      <c r="I36" s="53"/>
      <c r="K36" s="77"/>
      <c r="L36" s="182"/>
      <c r="M36" s="151"/>
      <c r="N36" s="182"/>
      <c r="O36" s="80"/>
      <c r="P36" s="78"/>
      <c r="Q36" s="78"/>
    </row>
    <row r="37" spans="1:17">
      <c r="B37" s="14" t="s">
        <v>36</v>
      </c>
      <c r="D37" s="28">
        <f>SUM(D35-D36)</f>
        <v>0</v>
      </c>
      <c r="E37" s="159"/>
      <c r="F37" s="27"/>
      <c r="G37" s="51"/>
      <c r="H37" s="8"/>
      <c r="I37" s="50"/>
      <c r="K37" s="77"/>
      <c r="L37" s="151"/>
      <c r="M37" s="151"/>
      <c r="N37" s="151"/>
      <c r="O37" s="182"/>
    </row>
    <row r="38" spans="1:17">
      <c r="E38" s="159"/>
      <c r="F38" s="27"/>
      <c r="G38" s="51"/>
      <c r="H38" s="8"/>
      <c r="I38" s="50"/>
      <c r="K38" s="77"/>
      <c r="L38" s="151"/>
      <c r="M38" s="151"/>
      <c r="N38" s="151"/>
      <c r="O38" s="182"/>
    </row>
    <row r="39" spans="1:17">
      <c r="E39" s="155"/>
      <c r="F39" s="27"/>
      <c r="G39" s="51"/>
      <c r="H39" s="13"/>
      <c r="I39" s="50"/>
      <c r="K39" s="77"/>
      <c r="L39" s="151"/>
      <c r="M39" s="151"/>
      <c r="N39" s="151"/>
      <c r="O39" s="80"/>
    </row>
    <row r="40" spans="1:17">
      <c r="B40" s="16" t="s">
        <v>223</v>
      </c>
      <c r="C40" s="16"/>
      <c r="E40" s="155"/>
      <c r="F40" s="27"/>
      <c r="G40" s="51"/>
      <c r="H40" s="13"/>
      <c r="I40" s="50"/>
      <c r="K40" s="77"/>
      <c r="L40" s="151"/>
      <c r="M40" s="151"/>
      <c r="N40" s="151"/>
      <c r="O40" s="151"/>
    </row>
    <row r="41" spans="1:17">
      <c r="E41" s="155"/>
      <c r="F41" s="27"/>
      <c r="G41" s="51"/>
      <c r="H41" s="13"/>
      <c r="I41" s="50"/>
      <c r="K41" s="77"/>
      <c r="L41" s="151"/>
      <c r="M41" s="151"/>
      <c r="N41" s="151"/>
      <c r="O41" s="80"/>
    </row>
    <row r="42" spans="1:17">
      <c r="A42" s="14">
        <v>1100007400</v>
      </c>
      <c r="B42" s="14" t="s">
        <v>31</v>
      </c>
      <c r="D42" s="28">
        <f>'Total hjælpeark'!D54</f>
        <v>3463951.41</v>
      </c>
      <c r="E42" s="155">
        <v>6346938</v>
      </c>
      <c r="F42" s="27">
        <f t="shared" ref="F42:F44" si="2">SUM(E42-D42)</f>
        <v>2882986.59</v>
      </c>
      <c r="G42" s="49">
        <f t="shared" ref="G42:G44" si="3">SUM(D42/E42)</f>
        <v>0.5457673306403813</v>
      </c>
      <c r="H42" s="26">
        <v>6890573</v>
      </c>
      <c r="I42" s="49">
        <f t="shared" ref="I42:I44" si="4">SUM(H42/E42)</f>
        <v>1.0856531133595444</v>
      </c>
      <c r="K42" s="77"/>
      <c r="L42" s="151"/>
      <c r="M42" s="151"/>
      <c r="N42" s="151"/>
      <c r="O42" s="151"/>
    </row>
    <row r="43" spans="1:17">
      <c r="A43" s="14">
        <v>1100007401</v>
      </c>
      <c r="B43" s="14" t="s">
        <v>55</v>
      </c>
      <c r="D43" s="28">
        <f>SUM('Total hjælpeark'!D57)</f>
        <v>216655.09</v>
      </c>
      <c r="E43" s="155">
        <v>400000</v>
      </c>
      <c r="F43" s="27">
        <f t="shared" si="2"/>
        <v>183344.91</v>
      </c>
      <c r="G43" s="49">
        <f t="shared" si="3"/>
        <v>0.54163772499999996</v>
      </c>
      <c r="H43" s="26">
        <v>400000</v>
      </c>
      <c r="I43" s="49">
        <f t="shared" si="4"/>
        <v>1</v>
      </c>
      <c r="K43" s="76">
        <f>'Total hjælpeark'!D53</f>
        <v>0</v>
      </c>
      <c r="L43" s="151" t="s">
        <v>303</v>
      </c>
      <c r="M43" s="151"/>
      <c r="N43" s="151"/>
      <c r="O43" s="151"/>
    </row>
    <row r="44" spans="1:17">
      <c r="A44" s="14">
        <v>1100007500</v>
      </c>
      <c r="B44" s="14" t="s">
        <v>43</v>
      </c>
      <c r="D44" s="28">
        <f>IFERROR(VLOOKUP(A44,'RI - data'!D$43:G$91,4,FALSE),0)</f>
        <v>683435.2</v>
      </c>
      <c r="E44" s="155">
        <v>1240007</v>
      </c>
      <c r="F44" s="27">
        <f t="shared" si="2"/>
        <v>556571.80000000005</v>
      </c>
      <c r="G44" s="49">
        <f t="shared" si="3"/>
        <v>0.55115430799987419</v>
      </c>
      <c r="H44" s="26">
        <v>1376302</v>
      </c>
      <c r="I44" s="49">
        <f t="shared" si="4"/>
        <v>1.1099147020944236</v>
      </c>
      <c r="L44" s="151" t="s">
        <v>293</v>
      </c>
      <c r="M44" s="151"/>
      <c r="N44" s="151"/>
      <c r="O44" s="151"/>
    </row>
    <row r="45" spans="1:17">
      <c r="E45" s="155"/>
      <c r="F45" s="193"/>
      <c r="G45" s="192"/>
      <c r="H45" s="190"/>
      <c r="I45" s="195"/>
      <c r="K45" s="77"/>
      <c r="L45" s="151"/>
      <c r="M45" s="151"/>
      <c r="N45" s="151"/>
      <c r="O45" s="151"/>
    </row>
    <row r="46" spans="1:17" ht="12.75" hidden="1" customHeight="1">
      <c r="A46" s="14" t="s">
        <v>173</v>
      </c>
      <c r="B46" s="14" t="s">
        <v>170</v>
      </c>
      <c r="C46" s="8">
        <f>IFERROR(VLOOKUP(A46,'RI - data'!B$43:G$91,6,FALSE),0)</f>
        <v>14136.12</v>
      </c>
      <c r="D46" s="11"/>
      <c r="E46" s="155"/>
      <c r="F46" s="193"/>
      <c r="G46" s="192"/>
      <c r="H46" s="21"/>
      <c r="I46" s="195"/>
      <c r="K46" s="77"/>
      <c r="L46" s="151"/>
      <c r="M46" s="151"/>
      <c r="N46" s="151"/>
      <c r="O46" s="151"/>
    </row>
    <row r="47" spans="1:17" ht="12.75" hidden="1" customHeight="1">
      <c r="A47" s="14" t="s">
        <v>174</v>
      </c>
      <c r="B47" s="14" t="s">
        <v>171</v>
      </c>
      <c r="C47" s="8">
        <f>IFERROR(VLOOKUP(A47,'RI - data'!B$43:G$91,6,FALSE),0)</f>
        <v>0</v>
      </c>
      <c r="D47" s="11"/>
      <c r="E47" s="155"/>
      <c r="F47" s="193"/>
      <c r="G47" s="192"/>
      <c r="H47" s="190"/>
      <c r="I47" s="195"/>
      <c r="K47" s="77"/>
      <c r="L47" s="151"/>
      <c r="M47" s="151"/>
      <c r="N47" s="151"/>
      <c r="O47" s="151"/>
    </row>
    <row r="48" spans="1:17">
      <c r="B48" s="14" t="s">
        <v>221</v>
      </c>
      <c r="D48" s="28">
        <f>'Total hjælpeark'!D64</f>
        <v>38488</v>
      </c>
      <c r="E48" s="155">
        <v>30000</v>
      </c>
      <c r="F48" s="194">
        <f>SUM(E48-D48)</f>
        <v>-8488</v>
      </c>
      <c r="G48" s="49">
        <f>SUM(D48/E48)</f>
        <v>1.2829333333333333</v>
      </c>
      <c r="H48" s="190">
        <v>30000</v>
      </c>
      <c r="I48" s="49">
        <f>SUM(H48/E48)</f>
        <v>1</v>
      </c>
      <c r="K48" s="77"/>
      <c r="L48" s="151"/>
      <c r="M48" s="151"/>
      <c r="N48" s="151"/>
      <c r="O48" s="151"/>
    </row>
    <row r="49" spans="1:17">
      <c r="E49" s="155"/>
      <c r="F49" s="193"/>
      <c r="G49" s="192"/>
      <c r="H49" s="190"/>
      <c r="I49" s="195"/>
      <c r="K49" s="77"/>
      <c r="L49" s="151"/>
      <c r="M49" s="151"/>
      <c r="N49" s="151"/>
      <c r="O49" s="151"/>
    </row>
    <row r="50" spans="1:17">
      <c r="A50" s="14" t="s">
        <v>175</v>
      </c>
      <c r="B50" s="14" t="s">
        <v>56</v>
      </c>
      <c r="D50" s="28">
        <f>IFERROR(VLOOKUP(A50,'RI - data'!B$43:G$91,6,FALSE),0)</f>
        <v>94412.09</v>
      </c>
      <c r="E50" s="155">
        <v>300000</v>
      </c>
      <c r="F50" s="194">
        <f>SUM(E50-D50)</f>
        <v>205587.91</v>
      </c>
      <c r="G50" s="49">
        <f>SUM(D50/E50)</f>
        <v>0.31470696666666664</v>
      </c>
      <c r="H50" s="196">
        <v>300000</v>
      </c>
      <c r="I50" s="49">
        <f>SUM(H50/E50)</f>
        <v>1</v>
      </c>
      <c r="K50" s="77"/>
      <c r="L50" s="151"/>
      <c r="M50" s="151"/>
      <c r="N50" s="151"/>
      <c r="O50" s="151"/>
    </row>
    <row r="51" spans="1:17">
      <c r="E51" s="155"/>
      <c r="F51" s="193"/>
      <c r="G51" s="192"/>
      <c r="H51" s="190"/>
      <c r="I51" s="195"/>
      <c r="K51" s="77"/>
      <c r="L51" s="151"/>
      <c r="M51" s="151"/>
      <c r="N51" s="151"/>
      <c r="O51" s="151"/>
    </row>
    <row r="52" spans="1:17" ht="12.75" hidden="1" customHeight="1">
      <c r="A52" s="14" t="s">
        <v>176</v>
      </c>
      <c r="B52" s="14" t="s">
        <v>178</v>
      </c>
      <c r="C52" s="8">
        <f>IFERROR(VLOOKUP(A52,'RI - data'!B$43:G$91,6,FALSE),0)</f>
        <v>2075.31</v>
      </c>
      <c r="D52" s="11"/>
      <c r="E52" s="155"/>
      <c r="F52" s="193"/>
      <c r="G52" s="192"/>
      <c r="H52" s="21"/>
      <c r="I52" s="195"/>
      <c r="K52" s="77"/>
      <c r="L52" s="151"/>
      <c r="M52" s="151"/>
      <c r="N52" s="151"/>
      <c r="O52" s="151"/>
    </row>
    <row r="53" spans="1:17" ht="12.75" hidden="1" customHeight="1">
      <c r="A53" s="14" t="s">
        <v>177</v>
      </c>
      <c r="B53" s="14" t="s">
        <v>167</v>
      </c>
      <c r="C53" s="8">
        <f>IFERROR(VLOOKUP(A53,'RI - data'!B$43:G$91,6,FALSE),0)</f>
        <v>8612.67</v>
      </c>
      <c r="D53" s="11"/>
      <c r="E53" s="155"/>
      <c r="F53" s="193"/>
      <c r="G53" s="192"/>
      <c r="H53" s="190"/>
      <c r="I53" s="195"/>
      <c r="K53" s="77"/>
      <c r="L53" s="151"/>
      <c r="M53" s="151"/>
      <c r="N53" s="151"/>
      <c r="O53" s="151"/>
    </row>
    <row r="54" spans="1:17">
      <c r="B54" s="14" t="s">
        <v>68</v>
      </c>
      <c r="D54" s="28">
        <f>SUM(C52:C53)</f>
        <v>10687.98</v>
      </c>
      <c r="E54" s="155">
        <v>60000</v>
      </c>
      <c r="F54" s="194">
        <f>SUM(E54-D54)</f>
        <v>49312.020000000004</v>
      </c>
      <c r="G54" s="49">
        <f>SUM(D54/E54)</f>
        <v>0.17813299999999999</v>
      </c>
      <c r="H54" s="190">
        <v>60000</v>
      </c>
      <c r="I54" s="49">
        <f>SUM(H54/E54)</f>
        <v>1</v>
      </c>
      <c r="K54" s="77"/>
      <c r="L54" s="151"/>
      <c r="M54" s="151"/>
      <c r="N54" s="151"/>
      <c r="O54" s="151"/>
    </row>
    <row r="55" spans="1:17">
      <c r="E55" s="155"/>
      <c r="F55" s="193"/>
      <c r="G55" s="192"/>
      <c r="H55" s="190"/>
      <c r="I55" s="195"/>
      <c r="K55" s="77"/>
      <c r="L55" s="151"/>
      <c r="M55" s="151"/>
      <c r="N55" s="151"/>
      <c r="O55" s="151"/>
    </row>
    <row r="56" spans="1:17">
      <c r="A56" s="14" t="s">
        <v>190</v>
      </c>
      <c r="B56" s="14" t="s">
        <v>25</v>
      </c>
      <c r="D56" s="28">
        <f>IFERROR(VLOOKUP(A56,'RI - data'!B$43:G$91,6,FALSE),0)</f>
        <v>51350.1</v>
      </c>
      <c r="E56" s="155">
        <v>30000</v>
      </c>
      <c r="F56" s="27">
        <f>SUM(E56-D56)</f>
        <v>-21350.1</v>
      </c>
      <c r="G56" s="49">
        <f>SUM(D56/E56)</f>
        <v>1.71167</v>
      </c>
      <c r="H56" s="13">
        <v>30000</v>
      </c>
      <c r="I56" s="49">
        <f>SUM(H56/E56)</f>
        <v>1</v>
      </c>
      <c r="K56" s="77"/>
      <c r="L56" s="151"/>
      <c r="M56" s="151"/>
      <c r="N56" s="151"/>
      <c r="O56" s="151"/>
    </row>
    <row r="57" spans="1:17">
      <c r="E57" s="155"/>
      <c r="F57" s="27"/>
      <c r="G57" s="51"/>
      <c r="H57" s="13"/>
      <c r="I57" s="50"/>
      <c r="K57" s="77"/>
      <c r="L57" s="151"/>
      <c r="M57" s="151"/>
      <c r="N57" s="151"/>
      <c r="O57" s="151"/>
    </row>
    <row r="58" spans="1:17">
      <c r="A58" s="14" t="s">
        <v>179</v>
      </c>
      <c r="B58" s="14" t="s">
        <v>38</v>
      </c>
      <c r="D58" s="28">
        <f>'RI - data'!G94</f>
        <v>-3386245.09</v>
      </c>
      <c r="E58" s="155">
        <v>-6098566</v>
      </c>
      <c r="F58" s="27">
        <f>SUM(E58-D58)</f>
        <v>-2712320.91</v>
      </c>
      <c r="G58" s="49">
        <f>SUM(D58/E58)</f>
        <v>0.55525267579296511</v>
      </c>
      <c r="H58" s="13">
        <v>-6379550</v>
      </c>
      <c r="I58" s="49">
        <f>SUM(H58/E58)</f>
        <v>1.0460737819349664</v>
      </c>
      <c r="K58" s="77"/>
      <c r="L58" s="151"/>
      <c r="M58" s="151"/>
      <c r="N58" s="151"/>
      <c r="O58" s="151"/>
    </row>
    <row r="59" spans="1:17">
      <c r="E59" s="155"/>
      <c r="F59" s="27"/>
      <c r="G59" s="51"/>
      <c r="H59" s="13"/>
      <c r="I59" s="50"/>
      <c r="K59" s="77"/>
      <c r="L59" s="151"/>
      <c r="M59" s="151"/>
      <c r="N59" s="151"/>
      <c r="O59" s="151"/>
      <c r="P59" s="61"/>
    </row>
    <row r="60" spans="1:17" s="16" customFormat="1">
      <c r="B60" s="16" t="s">
        <v>37</v>
      </c>
      <c r="D60" s="33">
        <f>SUM(D42:D58)</f>
        <v>1172734.7800000003</v>
      </c>
      <c r="E60" s="153">
        <f>SUM(E42:E58)</f>
        <v>2308379</v>
      </c>
      <c r="F60" s="32">
        <f>SUM(F42:F58)</f>
        <v>1135644.2199999997</v>
      </c>
      <c r="G60" s="44">
        <f>SUM(D60/E60)</f>
        <v>0.50803389737993643</v>
      </c>
      <c r="H60" s="10">
        <f>SUM(H42:H58)</f>
        <v>2707325</v>
      </c>
      <c r="I60" s="44">
        <f>SUM(H60/E60)</f>
        <v>1.1728251729893575</v>
      </c>
      <c r="K60" s="77"/>
      <c r="L60" s="80"/>
      <c r="M60" s="80"/>
      <c r="N60" s="80"/>
      <c r="O60" s="151"/>
      <c r="P60" s="75"/>
      <c r="Q60" s="75"/>
    </row>
    <row r="61" spans="1:17" s="20" customFormat="1">
      <c r="B61" s="20" t="s">
        <v>35</v>
      </c>
      <c r="D61" s="34">
        <f>'RI - data'!G90+'RI - data'!G93-'RI - data'!G89-'RI - data'!G86-'RI - data'!G85+'RI - data'!G95</f>
        <v>1172734.7800000003</v>
      </c>
      <c r="E61" s="162"/>
      <c r="F61" s="138"/>
      <c r="G61" s="52"/>
      <c r="H61" s="38"/>
      <c r="I61" s="53"/>
      <c r="K61" s="77"/>
      <c r="L61" s="182"/>
      <c r="M61" s="182"/>
      <c r="N61" s="182"/>
      <c r="O61" s="80"/>
      <c r="P61" s="78"/>
      <c r="Q61" s="78"/>
    </row>
    <row r="62" spans="1:17">
      <c r="B62" s="14" t="s">
        <v>36</v>
      </c>
      <c r="D62" s="28">
        <f>SUM(D60-D61)</f>
        <v>0</v>
      </c>
      <c r="E62" s="152"/>
      <c r="G62" s="51"/>
      <c r="H62"/>
      <c r="I62" s="50"/>
      <c r="K62" s="77"/>
      <c r="L62" s="151"/>
      <c r="M62" s="151"/>
      <c r="N62" s="151"/>
      <c r="O62" s="182"/>
    </row>
    <row r="63" spans="1:17">
      <c r="E63" s="159"/>
      <c r="F63" s="27"/>
      <c r="G63" s="51"/>
      <c r="H63" s="8"/>
      <c r="I63" s="50"/>
      <c r="K63" s="77"/>
      <c r="L63" s="151"/>
      <c r="M63" s="151"/>
      <c r="N63" s="151"/>
      <c r="O63" s="151"/>
    </row>
    <row r="64" spans="1:17">
      <c r="E64" s="155"/>
      <c r="F64" s="27"/>
      <c r="G64" s="51"/>
      <c r="H64" s="13"/>
      <c r="I64" s="50"/>
      <c r="K64" s="77"/>
      <c r="L64" s="151"/>
      <c r="M64" s="151"/>
      <c r="N64" s="151"/>
      <c r="O64" s="151"/>
    </row>
    <row r="65" spans="1:16">
      <c r="B65" s="16" t="s">
        <v>39</v>
      </c>
      <c r="C65" s="16"/>
      <c r="E65" s="155"/>
      <c r="F65" s="27"/>
      <c r="G65" s="51"/>
      <c r="H65" s="13"/>
      <c r="I65" s="50"/>
      <c r="L65" s="151"/>
      <c r="M65" s="151"/>
      <c r="N65" s="151"/>
      <c r="O65" s="151"/>
      <c r="P65" s="183"/>
    </row>
    <row r="66" spans="1:16">
      <c r="E66" s="155"/>
      <c r="F66" s="27"/>
      <c r="G66" s="51"/>
      <c r="H66" s="13"/>
      <c r="I66" s="50"/>
      <c r="L66" s="151"/>
      <c r="M66" s="151"/>
      <c r="N66" s="151"/>
      <c r="O66" s="151"/>
    </row>
    <row r="67" spans="1:16">
      <c r="A67" s="14">
        <v>1100007000</v>
      </c>
      <c r="B67" s="14" t="s">
        <v>31</v>
      </c>
      <c r="D67" s="28">
        <f>'Total hjælpeark'!D85</f>
        <v>6517294.0999999996</v>
      </c>
      <c r="E67" s="188">
        <v>13376981</v>
      </c>
      <c r="F67" s="194">
        <f t="shared" ref="F67:F69" si="5">SUM(E67-D67)</f>
        <v>6859686.9000000004</v>
      </c>
      <c r="G67" s="198">
        <f t="shared" ref="G67:G69" si="6">SUM(D67/E67)</f>
        <v>0.48720216467377803</v>
      </c>
      <c r="H67" s="190">
        <v>13569983</v>
      </c>
      <c r="I67" s="49">
        <f t="shared" ref="I67:I69" si="7">SUM(H67/E67)</f>
        <v>1.0144279191246515</v>
      </c>
      <c r="K67" s="77"/>
      <c r="L67" s="151"/>
      <c r="M67" s="151"/>
      <c r="N67" s="151"/>
      <c r="O67" s="151"/>
    </row>
    <row r="68" spans="1:16">
      <c r="A68" s="14">
        <v>1100007003</v>
      </c>
      <c r="B68" s="14" t="s">
        <v>43</v>
      </c>
      <c r="D68" s="28">
        <f>IFERROR(VLOOKUP(A68,'RI - data'!D$43:G$91,4,FALSE),0)</f>
        <v>633638.18000000005</v>
      </c>
      <c r="E68" s="188">
        <v>1235457</v>
      </c>
      <c r="F68" s="194">
        <f t="shared" si="5"/>
        <v>601818.81999999995</v>
      </c>
      <c r="G68" s="198">
        <f t="shared" si="6"/>
        <v>0.51287756676274454</v>
      </c>
      <c r="H68" s="190">
        <v>1270431</v>
      </c>
      <c r="I68" s="49">
        <f t="shared" si="7"/>
        <v>1.0283085530293647</v>
      </c>
      <c r="L68" s="151"/>
      <c r="M68" s="151"/>
      <c r="N68" s="151"/>
      <c r="O68" s="151"/>
      <c r="P68" s="61"/>
    </row>
    <row r="69" spans="1:16">
      <c r="A69" s="14">
        <v>1100007001</v>
      </c>
      <c r="B69" s="14" t="s">
        <v>55</v>
      </c>
      <c r="D69" s="28">
        <f>'Total hjælpeark'!D90</f>
        <v>158376.78</v>
      </c>
      <c r="E69" s="188">
        <v>500000</v>
      </c>
      <c r="F69" s="194">
        <f t="shared" si="5"/>
        <v>341623.22</v>
      </c>
      <c r="G69" s="198">
        <f t="shared" si="6"/>
        <v>0.31675355999999999</v>
      </c>
      <c r="H69" s="190">
        <v>500000</v>
      </c>
      <c r="I69" s="49">
        <f t="shared" si="7"/>
        <v>1</v>
      </c>
      <c r="K69" s="76">
        <f>'Total hjælpeark'!D83</f>
        <v>8358</v>
      </c>
      <c r="L69" s="151" t="s">
        <v>304</v>
      </c>
      <c r="M69" s="151"/>
      <c r="N69" s="151"/>
      <c r="O69" s="151"/>
    </row>
    <row r="70" spans="1:16">
      <c r="D70" s="11"/>
      <c r="E70" s="188"/>
      <c r="F70" s="199"/>
      <c r="G70" s="192"/>
      <c r="H70" s="21"/>
      <c r="I70" s="192"/>
      <c r="P70" s="61"/>
    </row>
    <row r="71" spans="1:16">
      <c r="A71" s="14" t="s">
        <v>212</v>
      </c>
      <c r="B71" s="14" t="s">
        <v>199</v>
      </c>
      <c r="D71" s="29">
        <f>IFERROR(VLOOKUP(A71,'RI - data'!B$43:G$91,6,FALSE),0)</f>
        <v>32664.06</v>
      </c>
      <c r="E71" s="188">
        <v>50000</v>
      </c>
      <c r="F71" s="194">
        <f>SUM(E71-D71)</f>
        <v>17335.939999999999</v>
      </c>
      <c r="G71" s="198">
        <f>SUM(D71/E71)</f>
        <v>0.65328120000000001</v>
      </c>
      <c r="H71" s="207">
        <f>SUM(E71)</f>
        <v>50000</v>
      </c>
      <c r="I71" s="49">
        <f>SUM(H71/E71)</f>
        <v>1</v>
      </c>
      <c r="K71" s="61"/>
    </row>
    <row r="72" spans="1:16">
      <c r="D72" s="11"/>
      <c r="E72" s="188"/>
      <c r="F72" s="199"/>
      <c r="G72" s="192"/>
      <c r="H72" s="21"/>
      <c r="I72" s="192"/>
      <c r="P72" s="61"/>
    </row>
    <row r="73" spans="1:16">
      <c r="A73" s="14" t="s">
        <v>180</v>
      </c>
      <c r="B73" s="14" t="s">
        <v>313</v>
      </c>
      <c r="D73" s="28">
        <f>IFERROR(VLOOKUP(A73,'RI - data'!B$43:G$98,6,FALSE),0)</f>
        <v>58629.11</v>
      </c>
      <c r="E73" s="188">
        <v>116000</v>
      </c>
      <c r="F73" s="194">
        <f>SUM(E73-D73)</f>
        <v>57370.89</v>
      </c>
      <c r="G73" s="198">
        <f>SUM(D73/E73)</f>
        <v>0.50542336206896554</v>
      </c>
      <c r="H73" s="208">
        <f>SUM(E73)</f>
        <v>116000</v>
      </c>
      <c r="I73" s="49">
        <f>SUM(H73/E73)</f>
        <v>1</v>
      </c>
      <c r="L73" s="61"/>
    </row>
    <row r="74" spans="1:16">
      <c r="E74" s="188"/>
      <c r="F74" s="199"/>
      <c r="G74" s="192"/>
      <c r="H74" s="190"/>
      <c r="I74" s="192"/>
      <c r="K74"/>
      <c r="L74"/>
      <c r="M74"/>
      <c r="N74"/>
    </row>
    <row r="75" spans="1:16" ht="12.75" hidden="1" customHeight="1">
      <c r="A75" s="14" t="s">
        <v>181</v>
      </c>
      <c r="B75" s="14" t="s">
        <v>184</v>
      </c>
      <c r="C75" s="8">
        <f>IFERROR(VLOOKUP(A75,'RI - data'!B$43:G$91,6,FALSE),0)</f>
        <v>1831213.03</v>
      </c>
      <c r="D75" s="11"/>
      <c r="E75" s="188"/>
      <c r="F75" s="199"/>
      <c r="G75" s="192"/>
      <c r="H75" s="21"/>
      <c r="I75" s="192"/>
      <c r="K75"/>
      <c r="L75"/>
      <c r="M75"/>
      <c r="N75"/>
    </row>
    <row r="76" spans="1:16" ht="12.75" hidden="1" customHeight="1">
      <c r="A76" s="14" t="s">
        <v>182</v>
      </c>
      <c r="B76" s="14" t="s">
        <v>185</v>
      </c>
      <c r="C76" s="8">
        <f>IFERROR(VLOOKUP(A76,'RI - data'!B$43:G$91,6,FALSE),0)</f>
        <v>657354.9</v>
      </c>
      <c r="D76" s="11"/>
      <c r="E76" s="188"/>
      <c r="F76" s="199"/>
      <c r="G76" s="192"/>
      <c r="H76" s="196"/>
      <c r="I76" s="192"/>
      <c r="K76"/>
      <c r="L76"/>
      <c r="M76"/>
      <c r="N76"/>
    </row>
    <row r="77" spans="1:16" ht="12.75" hidden="1" customHeight="1">
      <c r="A77" s="14" t="s">
        <v>183</v>
      </c>
      <c r="B77" s="14" t="s">
        <v>186</v>
      </c>
      <c r="C77" s="8">
        <f>IFERROR(VLOOKUP(A77,'RI - data'!B$43:G$91,6,FALSE),0)</f>
        <v>901213.73</v>
      </c>
      <c r="D77" s="11"/>
      <c r="E77" s="188"/>
      <c r="F77" s="199"/>
      <c r="G77" s="192"/>
      <c r="H77" s="196"/>
      <c r="I77" s="192"/>
      <c r="K77"/>
      <c r="L77"/>
      <c r="M77"/>
      <c r="N77"/>
    </row>
    <row r="78" spans="1:16">
      <c r="B78" s="14" t="s">
        <v>282</v>
      </c>
      <c r="D78" s="28">
        <f>'Total hjælpeark'!D103</f>
        <v>4771093.5999999996</v>
      </c>
      <c r="E78" s="203">
        <f>859942+1000000+572000</f>
        <v>2431942</v>
      </c>
      <c r="F78" s="194">
        <f t="shared" ref="F78:F79" si="8">SUM(E78-D78)</f>
        <v>-2339151.5999999996</v>
      </c>
      <c r="G78" s="198">
        <f t="shared" ref="G78:G79" si="9">SUM(D78/E78)</f>
        <v>1.9618451426884356</v>
      </c>
      <c r="H78" s="180">
        <v>9756195</v>
      </c>
      <c r="I78" s="49">
        <f>SUM(H78/E78)</f>
        <v>4.0116890123201951</v>
      </c>
      <c r="J78" s="43"/>
      <c r="K78" s="202" t="s">
        <v>331</v>
      </c>
      <c r="L78"/>
      <c r="M78"/>
      <c r="N78"/>
    </row>
    <row r="79" spans="1:16">
      <c r="B79" s="14" t="s">
        <v>281</v>
      </c>
      <c r="D79" s="28">
        <f>'Total hjælpeark'!D97+'Total hjælpeark'!D98</f>
        <v>-1240271</v>
      </c>
      <c r="E79" s="188">
        <v>-2281075</v>
      </c>
      <c r="F79" s="194">
        <f t="shared" si="8"/>
        <v>-1040804</v>
      </c>
      <c r="G79" s="198">
        <f t="shared" si="9"/>
        <v>0.54372214854838175</v>
      </c>
      <c r="H79" s="180">
        <v>-2769205</v>
      </c>
      <c r="I79" s="49">
        <f>SUM(H79/E79)</f>
        <v>1.2139912102846246</v>
      </c>
      <c r="J79" s="43"/>
      <c r="K79"/>
      <c r="L79" s="197"/>
      <c r="M79"/>
      <c r="N79"/>
    </row>
    <row r="80" spans="1:16">
      <c r="E80" s="159"/>
      <c r="F80" s="27"/>
      <c r="G80" s="49"/>
      <c r="I80" s="50"/>
      <c r="K80"/>
      <c r="L80"/>
      <c r="M80"/>
      <c r="N80"/>
    </row>
    <row r="81" spans="1:17">
      <c r="A81" s="14" t="s">
        <v>187</v>
      </c>
      <c r="B81" s="14" t="s">
        <v>40</v>
      </c>
      <c r="D81" s="28">
        <f>IFERROR(VLOOKUP(A81,'RI - data'!B$43:G$98,6,FALSE),0)</f>
        <v>847667.23</v>
      </c>
      <c r="E81" s="155">
        <v>881264</v>
      </c>
      <c r="F81" s="27">
        <f>SUM(E81-D81)</f>
        <v>33596.770000000019</v>
      </c>
      <c r="G81" s="49">
        <f>SUM(D81/E81)</f>
        <v>0.96187661132191937</v>
      </c>
      <c r="H81" s="26">
        <v>1835088</v>
      </c>
      <c r="I81" s="49">
        <f>SUM(H81/E81)</f>
        <v>2.0823362806151167</v>
      </c>
      <c r="K81"/>
      <c r="L81"/>
      <c r="M81"/>
      <c r="N81" s="151"/>
    </row>
    <row r="82" spans="1:17">
      <c r="D82" s="26"/>
      <c r="E82" s="155"/>
      <c r="F82" s="27"/>
      <c r="G82" s="51"/>
      <c r="H82" s="13"/>
      <c r="I82" s="50"/>
      <c r="K82"/>
      <c r="L82"/>
      <c r="M82"/>
      <c r="N82" s="151"/>
    </row>
    <row r="83" spans="1:17">
      <c r="A83" s="14" t="s">
        <v>188</v>
      </c>
      <c r="B83" s="14" t="s">
        <v>41</v>
      </c>
      <c r="D83" s="28">
        <f>'Total hjælpeark'!D113</f>
        <v>355697.67000000004</v>
      </c>
      <c r="E83" s="155">
        <v>1337178</v>
      </c>
      <c r="F83" s="27">
        <f>SUM(E83-D83)</f>
        <v>981480.33</v>
      </c>
      <c r="G83" s="49">
        <f>SUM(D83/E83)</f>
        <v>0.26600622355438097</v>
      </c>
      <c r="H83" s="13">
        <v>1027832</v>
      </c>
      <c r="I83" s="49">
        <f>SUM(H83/E83)</f>
        <v>0.76865757587995021</v>
      </c>
      <c r="K83" s="77"/>
      <c r="L83"/>
      <c r="M83"/>
      <c r="N83" s="151"/>
    </row>
    <row r="84" spans="1:17">
      <c r="D84" s="26"/>
      <c r="E84" s="155"/>
      <c r="F84" s="27"/>
      <c r="G84" s="51"/>
      <c r="H84" s="13"/>
      <c r="I84" s="50"/>
      <c r="K84"/>
      <c r="L84"/>
      <c r="M84"/>
      <c r="N84" s="151"/>
    </row>
    <row r="85" spans="1:17" s="16" customFormat="1">
      <c r="B85" s="16" t="s">
        <v>42</v>
      </c>
      <c r="D85" s="33">
        <f>SUM(D67:D83)</f>
        <v>12134789.729999999</v>
      </c>
      <c r="E85" s="153">
        <f>SUM(E67:E83)</f>
        <v>17647747</v>
      </c>
      <c r="F85" s="32">
        <f>SUM(E85-D85)</f>
        <v>5512957.2700000014</v>
      </c>
      <c r="G85" s="49">
        <f>SUM(D85/E85)</f>
        <v>0.68761127015250156</v>
      </c>
      <c r="H85" s="10">
        <f>SUM(H67:H83)</f>
        <v>25356324</v>
      </c>
      <c r="I85" s="44">
        <f>SUM(H85/E85)</f>
        <v>1.4368023294984906</v>
      </c>
      <c r="K85"/>
      <c r="L85" s="200"/>
      <c r="M85"/>
      <c r="N85"/>
      <c r="O85" s="74"/>
      <c r="P85" s="75"/>
      <c r="Q85" s="75"/>
    </row>
    <row r="86" spans="1:17" s="20" customFormat="1">
      <c r="B86" s="20" t="s">
        <v>35</v>
      </c>
      <c r="D86" s="34">
        <f>'RI - data'!G71+'RI - data'!G73+'RI - data'!G75+'RI - data'!G78+'RI - data'!G85+'RI - data'!G86+'RI - data'!G89-202370+32725</f>
        <v>12134789.729999999</v>
      </c>
      <c r="E86" s="162"/>
      <c r="F86" s="138"/>
      <c r="G86" s="52"/>
      <c r="H86" s="38"/>
      <c r="I86" s="53"/>
      <c r="K86" s="78"/>
      <c r="L86" s="201"/>
      <c r="M86" s="78"/>
      <c r="N86" s="78"/>
      <c r="O86" s="75"/>
      <c r="P86" s="78"/>
      <c r="Q86" s="78"/>
    </row>
    <row r="87" spans="1:17">
      <c r="B87" s="14" t="s">
        <v>36</v>
      </c>
      <c r="D87" s="28">
        <f>SUM(D85-D86)</f>
        <v>0</v>
      </c>
      <c r="E87" s="152"/>
      <c r="F87" s="29"/>
      <c r="G87" s="29"/>
      <c r="H87"/>
      <c r="I87" s="50"/>
      <c r="O87" s="78"/>
    </row>
    <row r="88" spans="1:17">
      <c r="D88" s="11"/>
      <c r="E88" s="152"/>
      <c r="F88" s="29"/>
      <c r="G88" s="29"/>
      <c r="H88"/>
      <c r="I88" s="50"/>
      <c r="L88" s="61"/>
    </row>
    <row r="89" spans="1:17" s="140" customFormat="1">
      <c r="B89" s="140" t="s">
        <v>288</v>
      </c>
      <c r="D89" s="141">
        <f>D35+D60+D85</f>
        <v>32856641.009999998</v>
      </c>
      <c r="E89" s="153">
        <f>E35+E60+E85</f>
        <v>67772754</v>
      </c>
      <c r="F89" s="33">
        <f>F35+F60+F85</f>
        <v>34916112.989999995</v>
      </c>
      <c r="G89" s="49"/>
      <c r="H89" s="141">
        <f>H35+H60+H85</f>
        <v>70249728</v>
      </c>
      <c r="I89" s="50"/>
      <c r="K89" s="142"/>
      <c r="L89" s="142"/>
      <c r="M89" s="142"/>
      <c r="N89" s="142"/>
      <c r="O89" s="74"/>
      <c r="P89" s="142"/>
      <c r="Q89" s="142"/>
    </row>
    <row r="90" spans="1:17">
      <c r="B90" s="16" t="s">
        <v>272</v>
      </c>
      <c r="D90" s="35"/>
      <c r="E90" s="163">
        <v>-1119584</v>
      </c>
      <c r="F90" s="29"/>
      <c r="G90" s="29"/>
      <c r="H90" s="39"/>
      <c r="I90" s="50"/>
      <c r="O90" s="142"/>
    </row>
    <row r="91" spans="1:17" s="23" customFormat="1">
      <c r="B91" s="16" t="s">
        <v>24</v>
      </c>
      <c r="D91" s="33">
        <f>SUM(D89)</f>
        <v>32856641.009999998</v>
      </c>
      <c r="E91" s="164">
        <f>SUM(E89:E90)</f>
        <v>66653170</v>
      </c>
      <c r="F91" s="32">
        <f>SUM(E91-D91)</f>
        <v>33796528.990000002</v>
      </c>
      <c r="G91" s="44">
        <f>SUM(D91/E91)</f>
        <v>0.49294941275861293</v>
      </c>
      <c r="H91" s="33">
        <f>SUM(H89:H90)</f>
        <v>70249728</v>
      </c>
      <c r="I91" s="172">
        <f>H91/E91</f>
        <v>1.0539592940590823</v>
      </c>
      <c r="K91" s="79"/>
      <c r="L91" s="80"/>
      <c r="M91" s="80"/>
      <c r="N91" s="80"/>
      <c r="O91" s="74"/>
      <c r="P91" s="80"/>
      <c r="Q91" s="80"/>
    </row>
    <row r="92" spans="1:17" s="23" customFormat="1">
      <c r="B92" s="16" t="s">
        <v>294</v>
      </c>
      <c r="D92" s="33"/>
      <c r="E92" s="164"/>
      <c r="F92" s="32"/>
      <c r="G92" s="44"/>
      <c r="H92" s="63">
        <f>SUM(E91-H91)</f>
        <v>-3596558</v>
      </c>
      <c r="I92" s="45"/>
      <c r="K92" s="79"/>
      <c r="L92" s="80"/>
      <c r="M92" s="80"/>
      <c r="N92" s="80"/>
      <c r="O92" s="74"/>
      <c r="P92" s="80"/>
      <c r="Q92" s="80"/>
    </row>
    <row r="93" spans="1:17" s="23" customFormat="1">
      <c r="B93" s="16"/>
      <c r="D93" s="33"/>
      <c r="E93" s="153"/>
      <c r="F93" s="33"/>
      <c r="G93" s="44"/>
      <c r="H93" s="33"/>
      <c r="I93" s="45"/>
      <c r="K93" s="79"/>
      <c r="L93" s="80"/>
      <c r="M93" s="80"/>
      <c r="N93" s="80"/>
      <c r="O93" s="80"/>
      <c r="P93" s="80"/>
      <c r="Q93" s="80"/>
    </row>
    <row r="94" spans="1:17" s="166" customFormat="1">
      <c r="A94" s="165"/>
      <c r="B94" s="166" t="s">
        <v>289</v>
      </c>
      <c r="D94" s="143">
        <f>'RI - data'!G46+'RI - data'!G49</f>
        <v>608643.92999999993</v>
      </c>
      <c r="E94" s="143">
        <v>874677</v>
      </c>
      <c r="F94" s="167">
        <f>SUM(E94-D94)</f>
        <v>266033.07000000007</v>
      </c>
      <c r="G94" s="168"/>
      <c r="H94" s="143">
        <v>1224689</v>
      </c>
      <c r="I94" s="169"/>
      <c r="K94" s="170" t="s">
        <v>321</v>
      </c>
      <c r="L94" s="170"/>
      <c r="M94" s="170"/>
      <c r="N94" s="170"/>
      <c r="O94" s="170"/>
      <c r="P94" s="170"/>
      <c r="Q94" s="170"/>
    </row>
    <row r="96" spans="1:17" s="144" customFormat="1">
      <c r="B96" s="166" t="s">
        <v>299</v>
      </c>
      <c r="D96" s="143">
        <f>SUM(D91:D94)</f>
        <v>33465284.939999998</v>
      </c>
      <c r="E96" s="143">
        <f>SUM(E91:E94)</f>
        <v>67527847</v>
      </c>
      <c r="H96" s="143">
        <f>H91+H94</f>
        <v>71474417</v>
      </c>
      <c r="K96" s="171"/>
      <c r="L96" s="171"/>
      <c r="M96" s="171"/>
      <c r="N96" s="171"/>
      <c r="O96" s="171"/>
      <c r="P96" s="171"/>
      <c r="Q96" s="171"/>
    </row>
    <row r="97" spans="2:17" s="11" customFormat="1">
      <c r="B97" s="23"/>
      <c r="D97" s="33"/>
      <c r="E97" s="83"/>
      <c r="H97" s="33"/>
      <c r="K97" s="151"/>
      <c r="L97" s="151"/>
      <c r="M97" s="151"/>
      <c r="N97" s="151"/>
      <c r="O97" s="151"/>
      <c r="P97" s="151"/>
      <c r="Q97" s="151"/>
    </row>
    <row r="98" spans="2:17">
      <c r="B98" s="16" t="s">
        <v>300</v>
      </c>
      <c r="C98" s="16"/>
      <c r="E98" s="83"/>
      <c r="F98" s="27"/>
      <c r="G98" s="54"/>
      <c r="H98" s="33">
        <f>SUM(E96-H96)</f>
        <v>-3946570</v>
      </c>
      <c r="I98" s="45"/>
      <c r="L98"/>
      <c r="M98"/>
      <c r="N98"/>
      <c r="O98"/>
    </row>
    <row r="99" spans="2:17">
      <c r="B99" s="16"/>
      <c r="C99" s="16"/>
      <c r="E99" s="83"/>
      <c r="F99" s="27"/>
      <c r="G99" s="54"/>
      <c r="H99" s="33"/>
      <c r="I99" s="45"/>
      <c r="L99"/>
      <c r="M99"/>
      <c r="N99"/>
      <c r="O99"/>
    </row>
    <row r="100" spans="2:17">
      <c r="B100" s="16"/>
      <c r="C100" s="16"/>
      <c r="F100" s="27"/>
      <c r="G100" s="54"/>
      <c r="H100" s="33"/>
      <c r="I100" s="45"/>
      <c r="L100"/>
      <c r="M100"/>
      <c r="N100"/>
      <c r="O100"/>
    </row>
    <row r="101" spans="2:17" ht="13.5" thickBot="1">
      <c r="B101" s="16"/>
      <c r="C101" s="16"/>
      <c r="F101" s="27"/>
      <c r="G101" s="54"/>
      <c r="H101" s="33"/>
      <c r="I101" s="45"/>
      <c r="L101"/>
      <c r="M101"/>
      <c r="N101"/>
      <c r="O101"/>
    </row>
    <row r="102" spans="2:17" ht="15" customHeight="1">
      <c r="B102" s="230" t="s">
        <v>336</v>
      </c>
      <c r="C102" s="231"/>
      <c r="D102" s="231"/>
      <c r="E102" s="231"/>
      <c r="F102" s="231"/>
      <c r="G102" s="231"/>
      <c r="H102" s="231"/>
      <c r="I102" s="231"/>
      <c r="J102" s="232"/>
      <c r="K102" s="145"/>
      <c r="L102" s="146"/>
      <c r="M102"/>
      <c r="N102"/>
      <c r="O102"/>
    </row>
    <row r="103" spans="2:17" ht="15" customHeight="1">
      <c r="B103" s="233"/>
      <c r="C103" s="234"/>
      <c r="D103" s="234"/>
      <c r="E103" s="234"/>
      <c r="F103" s="234"/>
      <c r="G103" s="234"/>
      <c r="H103" s="234"/>
      <c r="I103" s="234"/>
      <c r="J103" s="235"/>
      <c r="K103" s="145"/>
      <c r="L103" s="146"/>
      <c r="M103"/>
      <c r="N103"/>
      <c r="O103"/>
    </row>
    <row r="104" spans="2:17" ht="15" customHeight="1">
      <c r="B104" s="204"/>
      <c r="C104" s="205"/>
      <c r="D104" s="205"/>
      <c r="E104" s="205"/>
      <c r="F104" s="205"/>
      <c r="G104" s="205"/>
      <c r="H104" s="205"/>
      <c r="I104" s="205"/>
      <c r="J104" s="206"/>
      <c r="K104" s="145"/>
      <c r="L104" s="146"/>
      <c r="M104"/>
      <c r="N104"/>
      <c r="O104"/>
    </row>
    <row r="105" spans="2:17" ht="15" customHeight="1">
      <c r="B105" s="233" t="s">
        <v>329</v>
      </c>
      <c r="C105" s="234"/>
      <c r="D105" s="234"/>
      <c r="E105" s="234"/>
      <c r="F105" s="234"/>
      <c r="G105" s="234"/>
      <c r="H105" s="234"/>
      <c r="I105" s="234"/>
      <c r="J105" s="235"/>
      <c r="K105" s="147"/>
      <c r="L105" s="147"/>
    </row>
    <row r="106" spans="2:17" ht="15" customHeight="1">
      <c r="B106" s="149"/>
      <c r="C106" s="148"/>
      <c r="D106" s="148"/>
      <c r="E106" s="148"/>
      <c r="F106" s="148"/>
      <c r="G106" s="148"/>
      <c r="H106" s="148"/>
      <c r="I106" s="148"/>
      <c r="J106" s="150"/>
      <c r="K106" s="145"/>
      <c r="L106" s="146"/>
      <c r="M106"/>
      <c r="N106"/>
      <c r="O106"/>
    </row>
    <row r="107" spans="2:17" ht="15" customHeight="1">
      <c r="B107" s="233" t="s">
        <v>330</v>
      </c>
      <c r="C107" s="234"/>
      <c r="D107" s="234"/>
      <c r="E107" s="234"/>
      <c r="F107" s="234"/>
      <c r="G107" s="234"/>
      <c r="H107" s="234"/>
      <c r="I107" s="234"/>
      <c r="J107" s="235"/>
      <c r="K107" s="147"/>
      <c r="L107" s="147"/>
    </row>
    <row r="108" spans="2:17" ht="15" customHeight="1">
      <c r="B108" s="173"/>
      <c r="C108" s="174"/>
      <c r="D108" s="174"/>
      <c r="E108" s="174"/>
      <c r="F108" s="174"/>
      <c r="G108" s="174"/>
      <c r="H108" s="174"/>
      <c r="I108" s="174"/>
      <c r="J108" s="175"/>
      <c r="K108" s="147"/>
      <c r="L108" s="147"/>
    </row>
    <row r="109" spans="2:17" ht="28.5" customHeight="1">
      <c r="B109" s="236" t="s">
        <v>337</v>
      </c>
      <c r="C109" s="237"/>
      <c r="D109" s="237"/>
      <c r="E109" s="237"/>
      <c r="F109" s="237"/>
      <c r="G109" s="237"/>
      <c r="H109" s="237"/>
      <c r="I109" s="237"/>
      <c r="J109" s="238"/>
    </row>
    <row r="110" spans="2:17" ht="15" customHeight="1" thickBot="1">
      <c r="B110" s="210"/>
      <c r="C110" s="211"/>
      <c r="D110" s="211"/>
      <c r="E110" s="211"/>
      <c r="F110" s="211"/>
      <c r="G110" s="211"/>
      <c r="H110" s="211"/>
      <c r="I110" s="211"/>
      <c r="J110" s="212"/>
    </row>
    <row r="111" spans="2:17">
      <c r="E111" s="152"/>
    </row>
    <row r="112" spans="2:17">
      <c r="E112" s="152"/>
    </row>
    <row r="113" spans="2:5">
      <c r="E113" s="152"/>
    </row>
    <row r="114" spans="2:5">
      <c r="B114"/>
      <c r="C114"/>
      <c r="D114"/>
      <c r="E114" s="152"/>
    </row>
    <row r="115" spans="2:5">
      <c r="B115"/>
      <c r="C115"/>
      <c r="D115"/>
      <c r="E115" s="152"/>
    </row>
    <row r="116" spans="2:5">
      <c r="B116"/>
      <c r="C116"/>
      <c r="D116"/>
      <c r="E116" s="152"/>
    </row>
    <row r="117" spans="2:5">
      <c r="B117"/>
      <c r="C117"/>
      <c r="D117"/>
      <c r="E117" s="152"/>
    </row>
    <row r="118" spans="2:5">
      <c r="B118"/>
      <c r="C118"/>
      <c r="D118"/>
      <c r="E118" s="152"/>
    </row>
    <row r="119" spans="2:5">
      <c r="B119"/>
      <c r="C119"/>
      <c r="D119"/>
      <c r="E119" s="152"/>
    </row>
    <row r="120" spans="2:5">
      <c r="B120"/>
      <c r="C120"/>
      <c r="D120"/>
      <c r="E120" s="152"/>
    </row>
    <row r="121" spans="2:5">
      <c r="B121"/>
      <c r="C121"/>
      <c r="D121"/>
      <c r="E121" s="152"/>
    </row>
    <row r="122" spans="2:5">
      <c r="B122"/>
      <c r="C122"/>
      <c r="D122"/>
      <c r="E122" s="152"/>
    </row>
    <row r="123" spans="2:5">
      <c r="B123"/>
      <c r="C123"/>
      <c r="D123"/>
      <c r="E123" s="152"/>
    </row>
    <row r="124" spans="2:5">
      <c r="B124"/>
      <c r="C124"/>
      <c r="D124"/>
      <c r="E124" s="152"/>
    </row>
    <row r="125" spans="2:5">
      <c r="B125"/>
      <c r="C125"/>
      <c r="D125"/>
      <c r="E125" s="152"/>
    </row>
    <row r="126" spans="2:5">
      <c r="B126"/>
      <c r="C126"/>
      <c r="D126"/>
      <c r="E126" s="152"/>
    </row>
    <row r="127" spans="2:5">
      <c r="E127" s="152"/>
    </row>
    <row r="128" spans="2:5">
      <c r="E128" s="152"/>
    </row>
    <row r="129" spans="5:5">
      <c r="E129" s="152"/>
    </row>
    <row r="130" spans="5:5">
      <c r="E130" s="152"/>
    </row>
    <row r="131" spans="5:5">
      <c r="E131" s="152"/>
    </row>
    <row r="132" spans="5:5">
      <c r="E132" s="152"/>
    </row>
    <row r="133" spans="5:5">
      <c r="E133" s="152"/>
    </row>
    <row r="134" spans="5:5">
      <c r="E134" s="152"/>
    </row>
    <row r="135" spans="5:5">
      <c r="E135" s="152"/>
    </row>
    <row r="136" spans="5:5">
      <c r="E136" s="152"/>
    </row>
    <row r="137" spans="5:5">
      <c r="E137" s="152"/>
    </row>
    <row r="138" spans="5:5">
      <c r="E138" s="152"/>
    </row>
    <row r="139" spans="5:5">
      <c r="E139" s="152"/>
    </row>
    <row r="140" spans="5:5">
      <c r="E140" s="152"/>
    </row>
  </sheetData>
  <mergeCells count="5">
    <mergeCell ref="C3:C4"/>
    <mergeCell ref="B102:J103"/>
    <mergeCell ref="B107:J107"/>
    <mergeCell ref="B105:J105"/>
    <mergeCell ref="B109:J109"/>
  </mergeCells>
  <pageMargins left="0.70866141732283472" right="0.51181102362204722" top="0.55118110236220474" bottom="0.35433070866141736" header="0.31496062992125984" footer="0.31496062992125984"/>
  <pageSetup paperSize="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534F-AF3A-4977-921A-781BB2DFD776}">
  <sheetPr>
    <tabColor rgb="FFFFFF00"/>
  </sheetPr>
  <dimension ref="A1:Q88"/>
  <sheetViews>
    <sheetView workbookViewId="0">
      <selection activeCell="B3" sqref="B3"/>
    </sheetView>
  </sheetViews>
  <sheetFormatPr defaultRowHeight="12.75"/>
  <cols>
    <col min="1" max="1" width="39.125" style="11" customWidth="1"/>
    <col min="2" max="2" width="12.375" style="28" bestFit="1" customWidth="1"/>
    <col min="3" max="3" width="12.375" style="33" bestFit="1" customWidth="1"/>
    <col min="4" max="4" width="12.5" style="33" bestFit="1" customWidth="1"/>
    <col min="5" max="5" width="11.375" style="11" bestFit="1" customWidth="1"/>
    <col min="6" max="6" width="2.125" style="92" customWidth="1"/>
    <col min="7" max="7" width="33" style="11" customWidth="1"/>
    <col min="8" max="8" width="14.875" style="11" bestFit="1" customWidth="1"/>
    <col min="9" max="9" width="12.25" style="11" bestFit="1" customWidth="1"/>
    <col min="10" max="10" width="13" style="11" customWidth="1"/>
    <col min="11" max="11" width="10.375" style="11" bestFit="1" customWidth="1"/>
    <col min="12" max="16384" width="9" style="11"/>
  </cols>
  <sheetData>
    <row r="1" spans="1:10" ht="18">
      <c r="A1" s="85" t="s">
        <v>4</v>
      </c>
      <c r="B1" s="33"/>
    </row>
    <row r="2" spans="1:10" ht="18">
      <c r="A2" s="85"/>
    </row>
    <row r="3" spans="1:10" ht="12.75" customHeight="1">
      <c r="A3" s="11" t="s">
        <v>65</v>
      </c>
      <c r="B3" s="42">
        <v>44773</v>
      </c>
    </row>
    <row r="4" spans="1:10" ht="12.75" customHeight="1">
      <c r="B4" s="94"/>
    </row>
    <row r="5" spans="1:10" ht="15">
      <c r="A5" s="23" t="s">
        <v>30</v>
      </c>
      <c r="B5" s="129" t="s">
        <v>45</v>
      </c>
      <c r="C5" s="129" t="s">
        <v>46</v>
      </c>
      <c r="D5" s="129" t="s">
        <v>103</v>
      </c>
      <c r="E5" s="130" t="s">
        <v>49</v>
      </c>
      <c r="F5" s="131"/>
      <c r="G5" s="132" t="s">
        <v>232</v>
      </c>
    </row>
    <row r="6" spans="1:10">
      <c r="G6" s="27"/>
      <c r="H6" s="29"/>
    </row>
    <row r="7" spans="1:10">
      <c r="A7" s="11" t="s">
        <v>66</v>
      </c>
      <c r="B7" s="28">
        <f>'Total til SB'!D6</f>
        <v>13268346.450000001</v>
      </c>
      <c r="C7" s="28" t="e">
        <f>'Total til SB'!#REF!</f>
        <v>#REF!</v>
      </c>
      <c r="D7" s="26" t="e">
        <f>C7-B7</f>
        <v>#REF!</v>
      </c>
      <c r="E7" s="49" t="e">
        <f>SUM(B7/C7)</f>
        <v>#REF!</v>
      </c>
      <c r="F7" s="97"/>
      <c r="G7" s="27" t="s">
        <v>259</v>
      </c>
      <c r="H7" s="29"/>
      <c r="J7" s="27"/>
    </row>
    <row r="8" spans="1:10" s="81" customFormat="1">
      <c r="A8" s="81" t="s">
        <v>245</v>
      </c>
      <c r="B8" s="82">
        <f>'Total til SB'!D94</f>
        <v>608643.92999999993</v>
      </c>
      <c r="C8" s="82" t="e">
        <f>'Total til SB'!#REF!</f>
        <v>#REF!</v>
      </c>
      <c r="D8" s="127"/>
      <c r="E8" s="96"/>
      <c r="F8" s="97"/>
      <c r="G8" s="84" t="s">
        <v>270</v>
      </c>
      <c r="H8" s="95"/>
      <c r="J8" s="84"/>
    </row>
    <row r="9" spans="1:10">
      <c r="A9" s="14" t="s">
        <v>237</v>
      </c>
      <c r="B9" s="28" t="e">
        <f>'Total til SB'!#REF!</f>
        <v>#REF!</v>
      </c>
      <c r="C9" s="28" t="e">
        <f>'Total til SB'!#REF!</f>
        <v>#REF!</v>
      </c>
      <c r="D9" s="26"/>
      <c r="E9" s="49"/>
      <c r="F9" s="97"/>
      <c r="G9" s="27"/>
      <c r="H9" s="29"/>
      <c r="J9" s="27"/>
    </row>
    <row r="10" spans="1:10">
      <c r="A10" s="11" t="s">
        <v>55</v>
      </c>
      <c r="B10" s="28">
        <f>'Total til SB'!D8</f>
        <v>648584.35</v>
      </c>
      <c r="C10" s="28" t="e">
        <f>'Total til SB'!#REF!</f>
        <v>#REF!</v>
      </c>
      <c r="D10" s="26" t="e">
        <f t="shared" ref="D10:D27" si="0">C10-B10</f>
        <v>#REF!</v>
      </c>
      <c r="E10" s="49" t="e">
        <f>SUM(B10/C10)</f>
        <v>#REF!</v>
      </c>
      <c r="F10" s="97"/>
    </row>
    <row r="11" spans="1:10" customFormat="1">
      <c r="D11" s="26">
        <f t="shared" si="0"/>
        <v>0</v>
      </c>
      <c r="F11" s="92"/>
    </row>
    <row r="12" spans="1:10">
      <c r="A12" s="11" t="s">
        <v>43</v>
      </c>
      <c r="B12" s="28">
        <f>'Total til SB'!D10</f>
        <v>2195628.38</v>
      </c>
      <c r="C12" s="28" t="e">
        <f>'Total til SB'!#REF!</f>
        <v>#REF!</v>
      </c>
      <c r="D12" s="26" t="e">
        <f t="shared" si="0"/>
        <v>#REF!</v>
      </c>
      <c r="E12" s="49" t="e">
        <f>SUM(B12/C12)</f>
        <v>#REF!</v>
      </c>
      <c r="F12" s="97"/>
      <c r="H12" s="29"/>
    </row>
    <row r="13" spans="1:10">
      <c r="A13" s="11" t="s">
        <v>98</v>
      </c>
      <c r="B13" s="28">
        <f>'Total til SB'!D32</f>
        <v>832693.88</v>
      </c>
      <c r="C13" s="28" t="e">
        <f>'Total til SB'!#REF!</f>
        <v>#REF!</v>
      </c>
      <c r="D13" s="26" t="e">
        <f t="shared" si="0"/>
        <v>#REF!</v>
      </c>
      <c r="E13" s="49" t="e">
        <f>SUM(B13/C13)</f>
        <v>#REF!</v>
      </c>
      <c r="F13" s="97"/>
      <c r="G13" s="74" t="s">
        <v>260</v>
      </c>
      <c r="H13" s="29"/>
    </row>
    <row r="14" spans="1:10">
      <c r="C14" s="28"/>
      <c r="D14" s="26"/>
      <c r="E14" s="51"/>
      <c r="F14" s="98"/>
      <c r="G14" s="74"/>
      <c r="H14" s="29"/>
    </row>
    <row r="15" spans="1:10">
      <c r="A15" s="11" t="s">
        <v>32</v>
      </c>
      <c r="B15" s="28">
        <f>'Total til SB'!D20</f>
        <v>119507.94</v>
      </c>
      <c r="C15" s="28" t="e">
        <f>'Total til SB'!#REF!</f>
        <v>#REF!</v>
      </c>
      <c r="D15" s="26" t="e">
        <f t="shared" si="0"/>
        <v>#REF!</v>
      </c>
      <c r="E15" s="49" t="e">
        <f>SUM(B15/C15)</f>
        <v>#REF!</v>
      </c>
      <c r="F15" s="97"/>
      <c r="G15" s="74" t="s">
        <v>248</v>
      </c>
      <c r="H15" s="29"/>
    </row>
    <row r="16" spans="1:10">
      <c r="C16" s="28"/>
      <c r="D16" s="26"/>
      <c r="E16" s="51"/>
      <c r="F16" s="98"/>
      <c r="G16" s="74"/>
      <c r="H16" s="29"/>
    </row>
    <row r="17" spans="1:8">
      <c r="A17" s="11" t="s">
        <v>44</v>
      </c>
      <c r="B17" s="28">
        <f>'Total til SB'!D18</f>
        <v>175220</v>
      </c>
      <c r="C17" s="28" t="e">
        <f>'Total til SB'!#REF!</f>
        <v>#REF!</v>
      </c>
      <c r="D17" s="26" t="e">
        <f t="shared" si="0"/>
        <v>#REF!</v>
      </c>
      <c r="E17" s="49" t="e">
        <f>SUM(B17/C17)</f>
        <v>#REF!</v>
      </c>
      <c r="F17" s="97"/>
      <c r="G17" s="74" t="s">
        <v>261</v>
      </c>
      <c r="H17" s="29"/>
    </row>
    <row r="18" spans="1:8">
      <c r="C18" s="28"/>
      <c r="D18" s="26"/>
      <c r="E18" s="51"/>
      <c r="F18" s="98"/>
      <c r="G18" s="74"/>
      <c r="H18" s="27"/>
    </row>
    <row r="19" spans="1:8">
      <c r="A19" s="11" t="s">
        <v>69</v>
      </c>
      <c r="B19" s="28">
        <f>'Total til SB'!D24</f>
        <v>690584.15</v>
      </c>
      <c r="C19" s="28" t="e">
        <f>'Total til SB'!#REF!</f>
        <v>#REF!</v>
      </c>
      <c r="D19" s="26" t="e">
        <f t="shared" si="0"/>
        <v>#REF!</v>
      </c>
      <c r="E19" s="49" t="e">
        <f>SUM(B19/C19)</f>
        <v>#REF!</v>
      </c>
      <c r="F19" s="97"/>
      <c r="G19" s="61" t="s">
        <v>261</v>
      </c>
      <c r="H19" s="29"/>
    </row>
    <row r="20" spans="1:8">
      <c r="A20" s="14" t="s">
        <v>233</v>
      </c>
      <c r="B20" s="28" t="e">
        <f>'Total til SB'!#REF!</f>
        <v>#REF!</v>
      </c>
      <c r="C20" s="28"/>
      <c r="D20" s="26"/>
      <c r="E20" s="51"/>
      <c r="F20" s="98"/>
      <c r="G20" s="74"/>
      <c r="H20" s="29"/>
    </row>
    <row r="21" spans="1:8">
      <c r="A21" s="14" t="s">
        <v>234</v>
      </c>
      <c r="B21" s="28" t="e">
        <f>'Total til SB'!#REF!</f>
        <v>#REF!</v>
      </c>
      <c r="C21" s="28"/>
      <c r="D21" s="26"/>
      <c r="E21" s="51"/>
      <c r="F21" s="98"/>
      <c r="H21" s="29"/>
    </row>
    <row r="22" spans="1:8">
      <c r="C22" s="28"/>
      <c r="D22" s="26"/>
      <c r="E22" s="51"/>
      <c r="F22" s="98"/>
      <c r="H22" s="29"/>
    </row>
    <row r="23" spans="1:8">
      <c r="A23" s="11" t="s">
        <v>68</v>
      </c>
      <c r="B23" s="28">
        <f>'Total til SB'!D28</f>
        <v>182663.16999999998</v>
      </c>
      <c r="C23" s="28" t="e">
        <f>'Total til SB'!#REF!</f>
        <v>#REF!</v>
      </c>
      <c r="D23" s="26" t="e">
        <f t="shared" si="0"/>
        <v>#REF!</v>
      </c>
      <c r="E23" s="49" t="e">
        <f>SUM(B23/C23)</f>
        <v>#REF!</v>
      </c>
      <c r="F23" s="97"/>
    </row>
    <row r="24" spans="1:8">
      <c r="C24" s="28"/>
      <c r="D24" s="26"/>
      <c r="E24" s="51"/>
      <c r="F24" s="98"/>
    </row>
    <row r="25" spans="1:8">
      <c r="A25" s="11" t="s">
        <v>25</v>
      </c>
      <c r="B25" s="28">
        <f>'Total til SB'!D30</f>
        <v>215412.13</v>
      </c>
      <c r="C25" s="28" t="e">
        <f>'Total til SB'!#REF!</f>
        <v>#REF!</v>
      </c>
      <c r="D25" s="26" t="e">
        <f t="shared" si="0"/>
        <v>#REF!</v>
      </c>
      <c r="E25" s="49" t="e">
        <f>SUM(B25/C25)</f>
        <v>#REF!</v>
      </c>
      <c r="F25" s="97"/>
    </row>
    <row r="26" spans="1:8">
      <c r="C26" s="28"/>
      <c r="D26" s="26"/>
      <c r="E26" s="49"/>
      <c r="F26" s="97"/>
    </row>
    <row r="27" spans="1:8">
      <c r="A27" s="11" t="s">
        <v>33</v>
      </c>
      <c r="B27" s="123">
        <f>'Total til SB'!D33</f>
        <v>1220476.05</v>
      </c>
      <c r="C27" s="123" t="e">
        <f>'Total til SB'!#REF!</f>
        <v>#REF!</v>
      </c>
      <c r="D27" s="126" t="e">
        <f t="shared" si="0"/>
        <v>#REF!</v>
      </c>
      <c r="E27" s="124" t="e">
        <f>SUM(B27/C27)</f>
        <v>#REF!</v>
      </c>
      <c r="F27" s="97"/>
      <c r="G27" s="11" t="s">
        <v>264</v>
      </c>
    </row>
    <row r="28" spans="1:8">
      <c r="C28" s="26"/>
      <c r="E28" s="51"/>
      <c r="F28" s="98"/>
    </row>
    <row r="29" spans="1:8">
      <c r="A29" s="23" t="s">
        <v>34</v>
      </c>
      <c r="B29" s="33" t="e">
        <f>SUM(B7:B27)-B20-B21</f>
        <v>#REF!</v>
      </c>
      <c r="C29" s="33" t="e">
        <f>SUM(C7:C28)</f>
        <v>#REF!</v>
      </c>
      <c r="D29" s="33">
        <f>'Total til SB'!F35</f>
        <v>28267511.499999996</v>
      </c>
      <c r="E29" s="44" t="e">
        <f>SUM(B29/C29)</f>
        <v>#REF!</v>
      </c>
      <c r="F29" s="99"/>
    </row>
    <row r="30" spans="1:8">
      <c r="A30" s="86"/>
      <c r="B30" s="33"/>
      <c r="E30" s="91"/>
      <c r="F30" s="100"/>
    </row>
    <row r="31" spans="1:8" s="86" customFormat="1">
      <c r="A31" s="11"/>
      <c r="B31" s="33"/>
      <c r="C31" s="87"/>
      <c r="D31" s="88"/>
      <c r="E31" s="52"/>
      <c r="F31" s="101"/>
    </row>
    <row r="32" spans="1:8">
      <c r="A32" s="23" t="s">
        <v>223</v>
      </c>
      <c r="C32" s="28"/>
      <c r="E32" s="51"/>
      <c r="F32" s="98"/>
    </row>
    <row r="33" spans="1:8">
      <c r="A33" s="23"/>
      <c r="C33" s="26"/>
      <c r="E33" s="51"/>
      <c r="F33" s="98"/>
    </row>
    <row r="34" spans="1:8">
      <c r="A34" s="11" t="s">
        <v>31</v>
      </c>
      <c r="B34" s="28">
        <f>'Total til SB'!D42</f>
        <v>3463951.41</v>
      </c>
      <c r="C34" s="28" t="e">
        <f>'Total til SB'!#REF!</f>
        <v>#REF!</v>
      </c>
      <c r="D34" s="26" t="e">
        <f t="shared" ref="D34:D48" si="1">C34-B34</f>
        <v>#REF!</v>
      </c>
      <c r="E34" s="49" t="e">
        <f>SUM(B34/C34)</f>
        <v>#REF!</v>
      </c>
      <c r="F34" s="97"/>
      <c r="G34" s="77"/>
      <c r="H34" s="77"/>
    </row>
    <row r="35" spans="1:8">
      <c r="A35" s="11" t="s">
        <v>55</v>
      </c>
      <c r="B35" s="28">
        <f>'Total til SB'!D43</f>
        <v>216655.09</v>
      </c>
      <c r="C35" s="28" t="e">
        <f>'Total til SB'!#REF!</f>
        <v>#REF!</v>
      </c>
      <c r="D35" s="26" t="e">
        <f t="shared" si="1"/>
        <v>#REF!</v>
      </c>
      <c r="E35" s="49" t="e">
        <f t="shared" ref="E35:E48" si="2">SUM(B35/C35)</f>
        <v>#REF!</v>
      </c>
      <c r="F35" s="97"/>
      <c r="G35" s="77" t="s">
        <v>262</v>
      </c>
      <c r="H35" s="74"/>
    </row>
    <row r="36" spans="1:8">
      <c r="A36" s="11" t="s">
        <v>43</v>
      </c>
      <c r="B36" s="28">
        <f>'Total til SB'!D44</f>
        <v>683435.2</v>
      </c>
      <c r="C36" s="28" t="e">
        <f>'Total til SB'!#REF!</f>
        <v>#REF!</v>
      </c>
      <c r="D36" s="26" t="e">
        <f t="shared" si="1"/>
        <v>#REF!</v>
      </c>
      <c r="E36" s="49" t="e">
        <f t="shared" si="2"/>
        <v>#REF!</v>
      </c>
      <c r="F36" s="97"/>
    </row>
    <row r="37" spans="1:8">
      <c r="C37" s="28"/>
      <c r="D37" s="26"/>
      <c r="E37" s="49"/>
      <c r="F37" s="97"/>
    </row>
    <row r="38" spans="1:8">
      <c r="A38" s="11" t="s">
        <v>32</v>
      </c>
      <c r="B38" s="28">
        <f>'Total til SB'!D48</f>
        <v>38488</v>
      </c>
      <c r="C38" s="28" t="e">
        <f>'Total til SB'!#REF!</f>
        <v>#REF!</v>
      </c>
      <c r="D38" s="26" t="e">
        <f t="shared" si="1"/>
        <v>#REF!</v>
      </c>
      <c r="E38" s="49" t="e">
        <f t="shared" si="2"/>
        <v>#REF!</v>
      </c>
      <c r="F38" s="97"/>
    </row>
    <row r="39" spans="1:8">
      <c r="C39" s="28"/>
      <c r="D39" s="26"/>
      <c r="E39" s="49"/>
      <c r="F39" s="97"/>
    </row>
    <row r="40" spans="1:8">
      <c r="A40" s="11" t="s">
        <v>56</v>
      </c>
      <c r="B40" s="28">
        <f>'Total til SB'!D50</f>
        <v>94412.09</v>
      </c>
      <c r="C40" s="28" t="e">
        <f>'Total til SB'!#REF!</f>
        <v>#REF!</v>
      </c>
      <c r="D40" s="26" t="e">
        <f t="shared" si="1"/>
        <v>#REF!</v>
      </c>
      <c r="E40" s="49" t="e">
        <f t="shared" si="2"/>
        <v>#REF!</v>
      </c>
      <c r="F40" s="97"/>
    </row>
    <row r="41" spans="1:8">
      <c r="C41" s="28"/>
      <c r="D41" s="26"/>
      <c r="E41" s="49"/>
      <c r="F41" s="97"/>
    </row>
    <row r="42" spans="1:8">
      <c r="A42" s="11" t="s">
        <v>68</v>
      </c>
      <c r="B42" s="28">
        <f>'Total til SB'!D54</f>
        <v>10687.98</v>
      </c>
      <c r="C42" s="28" t="e">
        <f>'Total til SB'!#REF!</f>
        <v>#REF!</v>
      </c>
      <c r="D42" s="26" t="e">
        <f t="shared" si="1"/>
        <v>#REF!</v>
      </c>
      <c r="E42" s="49" t="e">
        <f t="shared" si="2"/>
        <v>#REF!</v>
      </c>
      <c r="F42" s="97"/>
    </row>
    <row r="43" spans="1:8">
      <c r="C43" s="28"/>
      <c r="D43" s="26"/>
      <c r="E43" s="49"/>
      <c r="F43" s="97"/>
    </row>
    <row r="44" spans="1:8">
      <c r="A44" s="11" t="s">
        <v>25</v>
      </c>
      <c r="B44" s="28">
        <f>'Total til SB'!D56</f>
        <v>51350.1</v>
      </c>
      <c r="C44" s="28" t="e">
        <f>'Total til SB'!#REF!</f>
        <v>#REF!</v>
      </c>
      <c r="D44" s="26" t="e">
        <f t="shared" si="1"/>
        <v>#REF!</v>
      </c>
      <c r="E44" s="49" t="e">
        <f t="shared" si="2"/>
        <v>#REF!</v>
      </c>
      <c r="F44" s="97"/>
    </row>
    <row r="45" spans="1:8">
      <c r="C45" s="28"/>
      <c r="D45" s="26"/>
      <c r="E45" s="49"/>
      <c r="F45" s="97"/>
    </row>
    <row r="46" spans="1:8">
      <c r="A46" s="11" t="s">
        <v>38</v>
      </c>
      <c r="B46" s="125">
        <f>'Total til SB'!D58</f>
        <v>-3386245.09</v>
      </c>
      <c r="C46" s="125" t="e">
        <f>'Total til SB'!#REF!</f>
        <v>#REF!</v>
      </c>
      <c r="D46" s="126" t="e">
        <f t="shared" si="1"/>
        <v>#REF!</v>
      </c>
      <c r="E46" s="124" t="e">
        <f t="shared" si="2"/>
        <v>#REF!</v>
      </c>
      <c r="F46" s="97"/>
      <c r="G46" s="11" t="s">
        <v>254</v>
      </c>
    </row>
    <row r="47" spans="1:8">
      <c r="C47" s="26"/>
      <c r="E47" s="49"/>
      <c r="F47" s="97"/>
      <c r="G47" s="27"/>
      <c r="H47" s="27"/>
    </row>
    <row r="48" spans="1:8">
      <c r="A48" s="23" t="s">
        <v>37</v>
      </c>
      <c r="B48" s="33">
        <f>SUM(B34:B46)</f>
        <v>1172734.7800000003</v>
      </c>
      <c r="C48" s="33" t="e">
        <f>SUM(C34:C46)</f>
        <v>#REF!</v>
      </c>
      <c r="D48" s="33" t="e">
        <f t="shared" si="1"/>
        <v>#REF!</v>
      </c>
      <c r="E48" s="49" t="e">
        <f t="shared" si="2"/>
        <v>#REF!</v>
      </c>
      <c r="F48" s="97"/>
      <c r="G48" s="27"/>
    </row>
    <row r="49" spans="1:11">
      <c r="A49" s="86"/>
      <c r="B49" s="34"/>
      <c r="C49" s="26"/>
      <c r="E49" s="51"/>
      <c r="F49" s="98"/>
    </row>
    <row r="50" spans="1:11" s="86" customFormat="1">
      <c r="A50" s="11"/>
      <c r="B50" s="28"/>
      <c r="C50" s="34"/>
      <c r="D50" s="89"/>
      <c r="E50" s="52"/>
      <c r="F50" s="101"/>
    </row>
    <row r="51" spans="1:11">
      <c r="A51" s="23" t="s">
        <v>39</v>
      </c>
      <c r="C51" s="26"/>
      <c r="E51" s="51"/>
      <c r="F51" s="98"/>
    </row>
    <row r="52" spans="1:11">
      <c r="C52" s="26"/>
      <c r="E52" s="51"/>
      <c r="F52" s="98"/>
    </row>
    <row r="53" spans="1:11">
      <c r="A53" s="11" t="s">
        <v>31</v>
      </c>
      <c r="B53" s="26">
        <f>'Total til SB'!D67</f>
        <v>6517294.0999999996</v>
      </c>
      <c r="C53" s="26" t="e">
        <f>'Total til SB'!#REF!</f>
        <v>#REF!</v>
      </c>
      <c r="D53" s="26" t="e">
        <f t="shared" ref="D53:D65" si="3">C53-B53</f>
        <v>#REF!</v>
      </c>
      <c r="E53" s="49" t="e">
        <f>SUM(B53/C53)</f>
        <v>#REF!</v>
      </c>
      <c r="F53" s="97"/>
    </row>
    <row r="54" spans="1:11">
      <c r="A54" s="11" t="s">
        <v>43</v>
      </c>
      <c r="B54" s="26">
        <f>'Total til SB'!D68</f>
        <v>633638.18000000005</v>
      </c>
      <c r="C54" s="26" t="e">
        <f>'Total til SB'!#REF!</f>
        <v>#REF!</v>
      </c>
      <c r="D54" s="26" t="e">
        <f t="shared" si="3"/>
        <v>#REF!</v>
      </c>
      <c r="E54" s="49" t="e">
        <f t="shared" ref="E54:E65" si="4">SUM(B54/C54)</f>
        <v>#REF!</v>
      </c>
      <c r="F54" s="97"/>
    </row>
    <row r="55" spans="1:11">
      <c r="A55" s="11" t="s">
        <v>55</v>
      </c>
      <c r="B55" s="26">
        <f>'Total til SB'!D69</f>
        <v>158376.78</v>
      </c>
      <c r="C55" s="26" t="e">
        <f>'Total til SB'!#REF!</f>
        <v>#REF!</v>
      </c>
      <c r="D55" s="26" t="e">
        <f t="shared" si="3"/>
        <v>#REF!</v>
      </c>
      <c r="E55" s="49" t="e">
        <f t="shared" si="4"/>
        <v>#REF!</v>
      </c>
      <c r="F55" s="97"/>
      <c r="H55" s="23"/>
    </row>
    <row r="56" spans="1:11">
      <c r="B56" s="26">
        <f>'Total til SB'!D70</f>
        <v>0</v>
      </c>
      <c r="C56" s="26" t="e">
        <f>'Total til SB'!#REF!</f>
        <v>#REF!</v>
      </c>
      <c r="D56" s="26"/>
      <c r="E56" s="49"/>
      <c r="F56" s="97"/>
    </row>
    <row r="57" spans="1:11">
      <c r="A57" s="11" t="s">
        <v>199</v>
      </c>
      <c r="B57" s="26">
        <f>'Total til SB'!D71</f>
        <v>32664.06</v>
      </c>
      <c r="C57" s="26">
        <v>0</v>
      </c>
      <c r="D57" s="26">
        <f t="shared" si="3"/>
        <v>-32664.06</v>
      </c>
      <c r="E57" s="49"/>
      <c r="F57" s="97"/>
      <c r="H57" s="27"/>
    </row>
    <row r="58" spans="1:11">
      <c r="B58" s="26">
        <f>'Total til SB'!D72</f>
        <v>0</v>
      </c>
      <c r="C58" s="26" t="e">
        <f>'Total til SB'!#REF!</f>
        <v>#REF!</v>
      </c>
      <c r="D58" s="26"/>
      <c r="E58" s="49"/>
      <c r="F58" s="97"/>
      <c r="H58" s="27"/>
    </row>
    <row r="59" spans="1:11">
      <c r="A59" s="11" t="s">
        <v>102</v>
      </c>
      <c r="B59" s="26">
        <f>'Total til SB'!D73</f>
        <v>58629.11</v>
      </c>
      <c r="C59" s="26">
        <v>0</v>
      </c>
      <c r="D59" s="26">
        <f t="shared" si="3"/>
        <v>-58629.11</v>
      </c>
      <c r="E59" s="49"/>
      <c r="F59" s="97"/>
      <c r="H59" s="27"/>
    </row>
    <row r="60" spans="1:11">
      <c r="B60" s="26">
        <f>'Total til SB'!D74</f>
        <v>0</v>
      </c>
      <c r="C60" s="26" t="e">
        <f>'Total til SB'!#REF!</f>
        <v>#REF!</v>
      </c>
      <c r="D60" s="26"/>
      <c r="E60" s="49"/>
      <c r="F60" s="97"/>
    </row>
    <row r="61" spans="1:11" ht="12.75" customHeight="1">
      <c r="A61" s="11" t="s">
        <v>26</v>
      </c>
      <c r="B61" s="26">
        <f>'Total til SB'!D78</f>
        <v>4771093.5999999996</v>
      </c>
      <c r="C61" s="26" t="e">
        <f>'Total til SB'!#REF!</f>
        <v>#REF!</v>
      </c>
      <c r="D61" s="26" t="e">
        <f t="shared" si="3"/>
        <v>#REF!</v>
      </c>
      <c r="E61" s="49" t="e">
        <f t="shared" si="4"/>
        <v>#REF!</v>
      </c>
      <c r="F61" s="97"/>
      <c r="G61" t="s">
        <v>263</v>
      </c>
      <c r="H61"/>
      <c r="I61"/>
      <c r="J61"/>
      <c r="K61"/>
    </row>
    <row r="62" spans="1:11">
      <c r="B62" s="26">
        <f>'Total til SB'!D80</f>
        <v>0</v>
      </c>
      <c r="C62" s="26" t="e">
        <f>'Total til SB'!#REF!</f>
        <v>#REF!</v>
      </c>
      <c r="D62" s="26"/>
      <c r="E62" s="49"/>
      <c r="F62" s="97"/>
      <c r="G62"/>
      <c r="H62"/>
      <c r="I62"/>
      <c r="J62"/>
      <c r="K62"/>
    </row>
    <row r="63" spans="1:11">
      <c r="A63" s="11" t="s">
        <v>40</v>
      </c>
      <c r="B63" s="26">
        <f>'Total til SB'!D81</f>
        <v>847667.23</v>
      </c>
      <c r="C63" s="26" t="e">
        <f>'Total til SB'!#REF!</f>
        <v>#REF!</v>
      </c>
      <c r="D63" s="26" t="e">
        <f t="shared" si="3"/>
        <v>#REF!</v>
      </c>
      <c r="E63" s="49" t="e">
        <f t="shared" si="4"/>
        <v>#REF!</v>
      </c>
      <c r="F63" s="97"/>
      <c r="G63"/>
      <c r="H63"/>
      <c r="I63"/>
      <c r="J63"/>
      <c r="K63"/>
    </row>
    <row r="64" spans="1:11">
      <c r="B64" s="26">
        <f>'Total til SB'!D82</f>
        <v>0</v>
      </c>
      <c r="C64" s="26" t="e">
        <f>'Total til SB'!#REF!</f>
        <v>#REF!</v>
      </c>
      <c r="D64" s="26"/>
      <c r="E64" s="49"/>
      <c r="F64" s="97"/>
      <c r="G64"/>
      <c r="H64"/>
      <c r="I64"/>
      <c r="J64"/>
      <c r="K64"/>
    </row>
    <row r="65" spans="1:17">
      <c r="A65" s="11" t="s">
        <v>41</v>
      </c>
      <c r="B65" s="126">
        <f>'Total til SB'!D83</f>
        <v>355697.67000000004</v>
      </c>
      <c r="C65" s="126" t="e">
        <f>'Total til SB'!#REF!</f>
        <v>#REF!</v>
      </c>
      <c r="D65" s="126" t="e">
        <f t="shared" si="3"/>
        <v>#REF!</v>
      </c>
      <c r="E65" s="124" t="e">
        <f t="shared" si="4"/>
        <v>#REF!</v>
      </c>
      <c r="F65" s="97"/>
      <c r="G65" t="s">
        <v>263</v>
      </c>
      <c r="H65"/>
      <c r="I65"/>
      <c r="J65"/>
      <c r="K65"/>
    </row>
    <row r="66" spans="1:17">
      <c r="B66" s="26"/>
      <c r="C66" s="26"/>
      <c r="E66" s="49"/>
      <c r="F66" s="97"/>
      <c r="I66" s="27"/>
    </row>
    <row r="67" spans="1:17" s="23" customFormat="1">
      <c r="A67" s="23" t="s">
        <v>42</v>
      </c>
      <c r="B67" s="33">
        <f>SUM(B53:B65)</f>
        <v>13375060.729999999</v>
      </c>
      <c r="C67" s="33" t="e">
        <f>SUM(C53:C65)</f>
        <v>#REF!</v>
      </c>
      <c r="D67" s="33" t="e">
        <f>SUM(D53:D65)</f>
        <v>#REF!</v>
      </c>
      <c r="E67" s="44" t="e">
        <f>SUM(B67/C67)</f>
        <v>#REF!</v>
      </c>
      <c r="F67" s="99"/>
      <c r="H67" s="32"/>
      <c r="I67" s="32"/>
    </row>
    <row r="68" spans="1:17" s="86" customFormat="1">
      <c r="B68" s="34"/>
      <c r="C68" s="34"/>
      <c r="D68" s="89"/>
      <c r="E68" s="52"/>
      <c r="F68" s="101"/>
    </row>
    <row r="69" spans="1:17" s="16" customFormat="1">
      <c r="A69" s="133" t="s">
        <v>235</v>
      </c>
      <c r="B69" s="133"/>
      <c r="C69" s="26">
        <v>43973</v>
      </c>
      <c r="D69" s="133"/>
      <c r="E69" s="54"/>
      <c r="F69" s="102"/>
      <c r="G69" s="54"/>
      <c r="H69" s="63"/>
      <c r="I69" s="45"/>
      <c r="K69" s="75"/>
      <c r="L69" s="75"/>
      <c r="M69" s="75"/>
      <c r="N69" s="75"/>
      <c r="O69" s="75"/>
      <c r="P69" s="75"/>
      <c r="Q69" s="75"/>
    </row>
    <row r="70" spans="1:17" s="23" customFormat="1" ht="13.5" thickBot="1">
      <c r="A70" s="23" t="s">
        <v>24</v>
      </c>
      <c r="B70" s="108" t="e">
        <f>B29+B48+B67</f>
        <v>#REF!</v>
      </c>
      <c r="C70" s="108" t="e">
        <f>C29+C48+C67+C69</f>
        <v>#REF!</v>
      </c>
      <c r="D70" s="108" t="e">
        <f>C70-B70</f>
        <v>#REF!</v>
      </c>
      <c r="E70" s="122" t="e">
        <f>SUM(B70/C70)</f>
        <v>#REF!</v>
      </c>
      <c r="F70" s="99"/>
      <c r="G70" s="32"/>
      <c r="H70" s="32"/>
      <c r="I70" s="32"/>
    </row>
    <row r="71" spans="1:17" ht="13.5" thickTop="1">
      <c r="C71" s="26"/>
      <c r="E71" s="51"/>
      <c r="F71" s="98"/>
    </row>
    <row r="72" spans="1:17" s="81" customFormat="1">
      <c r="A72" s="81" t="s">
        <v>251</v>
      </c>
      <c r="B72" s="82">
        <f>-B8</f>
        <v>-608643.92999999993</v>
      </c>
      <c r="C72" s="82"/>
      <c r="D72" s="83"/>
      <c r="E72" s="95"/>
      <c r="F72" s="93"/>
    </row>
    <row r="73" spans="1:17">
      <c r="A73" s="90"/>
      <c r="H73" s="27"/>
    </row>
    <row r="74" spans="1:17" s="107" customFormat="1">
      <c r="A74" s="128" t="s">
        <v>252</v>
      </c>
      <c r="B74" s="26" t="e">
        <f>SUM(B70:B72)</f>
        <v>#REF!</v>
      </c>
      <c r="C74" s="26" t="e">
        <f>C70</f>
        <v>#REF!</v>
      </c>
      <c r="D74" s="26" t="e">
        <f>SUM(C74-B74)</f>
        <v>#REF!</v>
      </c>
      <c r="E74" s="104" t="e">
        <f>SUM(B74/C74)</f>
        <v>#REF!</v>
      </c>
      <c r="F74" s="105"/>
      <c r="G74" s="106"/>
      <c r="H74" s="106"/>
    </row>
    <row r="75" spans="1:17">
      <c r="A75" s="23"/>
      <c r="E75" s="54"/>
      <c r="F75" s="102"/>
      <c r="G75" s="27"/>
      <c r="H75" s="27"/>
    </row>
    <row r="76" spans="1:17">
      <c r="A76" s="23"/>
      <c r="G76" s="27"/>
      <c r="H76" s="27"/>
    </row>
    <row r="77" spans="1:17">
      <c r="A77" s="112"/>
      <c r="B77" s="113"/>
      <c r="C77" s="114"/>
      <c r="D77" s="114"/>
      <c r="E77" s="115"/>
      <c r="F77" s="102"/>
      <c r="G77" s="27"/>
      <c r="H77" s="27"/>
    </row>
    <row r="78" spans="1:17">
      <c r="A78" s="242" t="s">
        <v>269</v>
      </c>
      <c r="B78" s="243"/>
      <c r="C78" s="243"/>
      <c r="D78" s="243"/>
      <c r="E78" s="244"/>
      <c r="F78" s="103"/>
    </row>
    <row r="79" spans="1:17">
      <c r="A79" s="245" t="s">
        <v>255</v>
      </c>
      <c r="B79" s="246"/>
      <c r="C79" s="246"/>
      <c r="D79" s="246"/>
      <c r="E79" s="247"/>
      <c r="F79" s="103"/>
    </row>
    <row r="80" spans="1:17">
      <c r="A80" s="110" t="s">
        <v>256</v>
      </c>
      <c r="B80" s="109"/>
      <c r="C80" s="109"/>
      <c r="D80" s="109"/>
      <c r="E80" s="111"/>
      <c r="F80" s="103"/>
    </row>
    <row r="81" spans="1:6">
      <c r="A81" s="134" t="s">
        <v>267</v>
      </c>
      <c r="B81" s="135"/>
      <c r="C81" s="135"/>
      <c r="D81" s="135"/>
      <c r="E81" s="136"/>
      <c r="F81" s="103"/>
    </row>
    <row r="82" spans="1:6">
      <c r="A82" s="134" t="s">
        <v>271</v>
      </c>
      <c r="B82" s="135"/>
      <c r="C82" s="135"/>
      <c r="D82" s="135"/>
      <c r="E82" s="136"/>
      <c r="F82" s="103"/>
    </row>
    <row r="83" spans="1:6">
      <c r="A83" s="245" t="s">
        <v>265</v>
      </c>
      <c r="B83" s="246"/>
      <c r="C83" s="246"/>
      <c r="D83" s="246"/>
      <c r="E83" s="247"/>
      <c r="F83" s="103"/>
    </row>
    <row r="84" spans="1:6">
      <c r="A84" s="134" t="s">
        <v>266</v>
      </c>
      <c r="B84" s="135"/>
      <c r="C84" s="135"/>
      <c r="D84" s="135"/>
      <c r="E84" s="136"/>
      <c r="F84" s="103"/>
    </row>
    <row r="85" spans="1:6">
      <c r="A85" s="248" t="s">
        <v>253</v>
      </c>
      <c r="B85" s="249"/>
      <c r="C85" s="249"/>
      <c r="D85" s="249"/>
      <c r="E85" s="250"/>
    </row>
    <row r="86" spans="1:6">
      <c r="A86" s="239" t="s">
        <v>257</v>
      </c>
      <c r="B86" s="240"/>
      <c r="C86" s="240"/>
      <c r="D86" s="240"/>
      <c r="E86" s="241"/>
    </row>
    <row r="87" spans="1:6">
      <c r="A87" s="73" t="s">
        <v>258</v>
      </c>
      <c r="B87" s="116"/>
      <c r="C87" s="117"/>
      <c r="D87" s="117"/>
      <c r="E87" s="118"/>
    </row>
    <row r="88" spans="1:6">
      <c r="A88" s="119" t="s">
        <v>268</v>
      </c>
      <c r="B88" s="72"/>
      <c r="C88" s="120"/>
      <c r="D88" s="120"/>
      <c r="E88" s="121"/>
    </row>
  </sheetData>
  <mergeCells count="5">
    <mergeCell ref="A86:E86"/>
    <mergeCell ref="A78:E78"/>
    <mergeCell ref="A79:E79"/>
    <mergeCell ref="A83:E83"/>
    <mergeCell ref="A85:E85"/>
  </mergeCells>
  <pageMargins left="0.70866141732283472" right="0.31496062992125984" top="0.35433070866141736" bottom="0.35433070866141736" header="0.31496062992125984" footer="0.31496062992125984"/>
  <pageSetup paperSize="8" fitToWidth="0" orientation="portrait" r:id="rId1"/>
  <ignoredErrors>
    <ignoredError sqref="C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RI - data</vt:lpstr>
      <vt:lpstr>Total hjælpeark</vt:lpstr>
      <vt:lpstr>Total til SB</vt:lpstr>
      <vt:lpstr>Slutresultat 31-7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Dyndgaard Hansen</dc:creator>
  <cp:lastModifiedBy>Betina Skørp Nielsen</cp:lastModifiedBy>
  <cp:lastPrinted>2023-02-10T11:26:19Z</cp:lastPrinted>
  <dcterms:created xsi:type="dcterms:W3CDTF">2018-03-07T08:27:30Z</dcterms:created>
  <dcterms:modified xsi:type="dcterms:W3CDTF">2023-02-20T12:46:57Z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f0c4c0e6-5f9c-4176-a6bb-5ecbfc02d651</vt:lpwstr>
  </property>
</Properties>
</file>